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600" windowHeight="11460" tabRatio="937" activeTab="1"/>
  </bookViews>
  <sheets>
    <sheet name="сводная" sheetId="42" r:id="rId1"/>
    <sheet name="1 (пон,вт,ср)" sheetId="43" r:id="rId2"/>
    <sheet name="1 (чт,пт,сб)" sheetId="44" r:id="rId3"/>
    <sheet name="2 (пон,вт,ср)" sheetId="45" r:id="rId4"/>
    <sheet name="2 (чт,пт,сб)" sheetId="46" r:id="rId5"/>
    <sheet name="000" sheetId="29" r:id="rId6"/>
  </sheets>
  <definedNames>
    <definedName name="_xlnm.Print_Area" localSheetId="3">'2 (пон,вт,ср)'!$A$1:$O$56</definedName>
    <definedName name="_xlnm.Print_Area" localSheetId="4">'2 (чт,пт,сб)'!$A$1:$O$64</definedName>
  </definedNames>
  <calcPr calcId="162913"/>
</workbook>
</file>

<file path=xl/calcChain.xml><?xml version="1.0" encoding="utf-8"?>
<calcChain xmlns="http://schemas.openxmlformats.org/spreadsheetml/2006/main">
  <c r="L48" i="46" l="1"/>
  <c r="K48" i="46"/>
  <c r="J48" i="46"/>
  <c r="I48" i="46"/>
  <c r="H48" i="46"/>
  <c r="N48" i="46" s="1"/>
  <c r="G48" i="46"/>
  <c r="M48" i="46" s="1"/>
  <c r="L49" i="46"/>
  <c r="K49" i="46"/>
  <c r="J49" i="46"/>
  <c r="I49" i="46"/>
  <c r="H49" i="46"/>
  <c r="N49" i="46" s="1"/>
  <c r="G49" i="46"/>
  <c r="M49" i="46" s="1"/>
  <c r="L47" i="46"/>
  <c r="K47" i="46"/>
  <c r="J47" i="46"/>
  <c r="I47" i="46"/>
  <c r="H47" i="46"/>
  <c r="N47" i="46" s="1"/>
  <c r="G47" i="46"/>
  <c r="M47" i="46" s="1"/>
  <c r="L53" i="46"/>
  <c r="K53" i="46"/>
  <c r="J53" i="46"/>
  <c r="I53" i="46"/>
  <c r="H53" i="46"/>
  <c r="N53" i="46" s="1"/>
  <c r="G53" i="46"/>
  <c r="M53" i="46" s="1"/>
  <c r="L52" i="46"/>
  <c r="K52" i="46"/>
  <c r="J52" i="46"/>
  <c r="I52" i="46"/>
  <c r="H52" i="46"/>
  <c r="N52" i="46" s="1"/>
  <c r="G52" i="46"/>
  <c r="M52" i="46" s="1"/>
  <c r="L42" i="46"/>
  <c r="K42" i="46"/>
  <c r="J42" i="46"/>
  <c r="I42" i="46"/>
  <c r="H42" i="46"/>
  <c r="N42" i="46" s="1"/>
  <c r="G42" i="46"/>
  <c r="M42" i="46" s="1"/>
  <c r="L34" i="46"/>
  <c r="K34" i="46"/>
  <c r="J34" i="46"/>
  <c r="I34" i="46"/>
  <c r="H34" i="46"/>
  <c r="N34" i="46" s="1"/>
  <c r="G34" i="46"/>
  <c r="M34" i="46" s="1"/>
  <c r="L37" i="46"/>
  <c r="K37" i="46"/>
  <c r="J37" i="46"/>
  <c r="I37" i="46"/>
  <c r="H37" i="46"/>
  <c r="N37" i="46" s="1"/>
  <c r="G37" i="46"/>
  <c r="M37" i="46" s="1"/>
  <c r="L36" i="46"/>
  <c r="K36" i="46"/>
  <c r="J36" i="46"/>
  <c r="I36" i="46"/>
  <c r="H36" i="46"/>
  <c r="N36" i="46" s="1"/>
  <c r="G36" i="46"/>
  <c r="M36" i="46" s="1"/>
  <c r="L26" i="46"/>
  <c r="K26" i="46"/>
  <c r="J26" i="46"/>
  <c r="I26" i="46"/>
  <c r="H26" i="46"/>
  <c r="N26" i="46" s="1"/>
  <c r="G26" i="46"/>
  <c r="M26" i="46" s="1"/>
  <c r="L25" i="46"/>
  <c r="K25" i="46"/>
  <c r="J25" i="46"/>
  <c r="I25" i="46"/>
  <c r="H25" i="46"/>
  <c r="N25" i="46" s="1"/>
  <c r="G25" i="46"/>
  <c r="M25" i="46" s="1"/>
  <c r="L20" i="46"/>
  <c r="K20" i="46"/>
  <c r="J20" i="46"/>
  <c r="I20" i="46"/>
  <c r="H20" i="46"/>
  <c r="N20" i="46" s="1"/>
  <c r="G20" i="46"/>
  <c r="M20" i="46" s="1"/>
  <c r="L19" i="46"/>
  <c r="K19" i="46"/>
  <c r="J19" i="46"/>
  <c r="I19" i="46"/>
  <c r="H19" i="46"/>
  <c r="N19" i="46" s="1"/>
  <c r="G19" i="46"/>
  <c r="M19" i="46" s="1"/>
  <c r="L9" i="46"/>
  <c r="K9" i="46"/>
  <c r="J9" i="46"/>
  <c r="I9" i="46"/>
  <c r="H9" i="46"/>
  <c r="N9" i="46" s="1"/>
  <c r="G9" i="46"/>
  <c r="M9" i="46" s="1"/>
  <c r="L8" i="46"/>
  <c r="K8" i="46"/>
  <c r="J8" i="46"/>
  <c r="I8" i="46"/>
  <c r="H8" i="46"/>
  <c r="N8" i="46" s="1"/>
  <c r="G8" i="46"/>
  <c r="M8" i="46" s="1"/>
  <c r="L50" i="45"/>
  <c r="K50" i="45"/>
  <c r="J50" i="45"/>
  <c r="I50" i="45"/>
  <c r="H50" i="45"/>
  <c r="N50" i="45" s="1"/>
  <c r="G50" i="45"/>
  <c r="M50" i="45" s="1"/>
  <c r="L49" i="45"/>
  <c r="K49" i="45"/>
  <c r="J49" i="45"/>
  <c r="I49" i="45"/>
  <c r="H49" i="45"/>
  <c r="N49" i="45" s="1"/>
  <c r="G49" i="45"/>
  <c r="M49" i="45" s="1"/>
  <c r="L42" i="45"/>
  <c r="K42" i="45"/>
  <c r="J42" i="45"/>
  <c r="I42" i="45"/>
  <c r="H42" i="45"/>
  <c r="N42" i="45" s="1"/>
  <c r="G42" i="45"/>
  <c r="M42" i="45" s="1"/>
  <c r="L41" i="45"/>
  <c r="K41" i="45"/>
  <c r="J41" i="45"/>
  <c r="I41" i="45"/>
  <c r="H41" i="45"/>
  <c r="N41" i="45" s="1"/>
  <c r="G41" i="45"/>
  <c r="M41" i="45" s="1"/>
  <c r="L40" i="45"/>
  <c r="K40" i="45"/>
  <c r="J40" i="45"/>
  <c r="I40" i="45"/>
  <c r="H40" i="45"/>
  <c r="N40" i="45" s="1"/>
  <c r="G40" i="45"/>
  <c r="M40" i="45" s="1"/>
  <c r="L49" i="44"/>
  <c r="K49" i="44"/>
  <c r="J49" i="44"/>
  <c r="I49" i="44"/>
  <c r="H49" i="44"/>
  <c r="N49" i="44" s="1"/>
  <c r="G49" i="44"/>
  <c r="M49" i="44" s="1"/>
  <c r="L48" i="44"/>
  <c r="K48" i="44"/>
  <c r="J48" i="44"/>
  <c r="I48" i="44"/>
  <c r="H48" i="44"/>
  <c r="N48" i="44" s="1"/>
  <c r="G48" i="44"/>
  <c r="M48" i="44" s="1"/>
  <c r="L26" i="45"/>
  <c r="K26" i="45"/>
  <c r="J26" i="45"/>
  <c r="I26" i="45"/>
  <c r="H26" i="45"/>
  <c r="N26" i="45" s="1"/>
  <c r="G26" i="45"/>
  <c r="M26" i="45" s="1"/>
  <c r="L10" i="46"/>
  <c r="K10" i="46"/>
  <c r="J10" i="46"/>
  <c r="I10" i="46"/>
  <c r="H10" i="46"/>
  <c r="N10" i="46" s="1"/>
  <c r="G10" i="46"/>
  <c r="M10" i="46" s="1"/>
  <c r="L43" i="46"/>
  <c r="K43" i="46"/>
  <c r="J43" i="46"/>
  <c r="I43" i="46"/>
  <c r="H43" i="46"/>
  <c r="N43" i="46" s="1"/>
  <c r="G43" i="46"/>
  <c r="M43" i="46" s="1"/>
  <c r="L27" i="46"/>
  <c r="K27" i="46"/>
  <c r="J27" i="46"/>
  <c r="I27" i="46"/>
  <c r="H27" i="46"/>
  <c r="N27" i="46" s="1"/>
  <c r="G27" i="46"/>
  <c r="M27" i="46" s="1"/>
  <c r="L50" i="46"/>
  <c r="K50" i="46"/>
  <c r="J50" i="46"/>
  <c r="I50" i="46"/>
  <c r="H50" i="46"/>
  <c r="N50" i="46" s="1"/>
  <c r="G50" i="46"/>
  <c r="M50" i="46" s="1"/>
  <c r="L43" i="45"/>
  <c r="K43" i="45"/>
  <c r="J43" i="45"/>
  <c r="I43" i="45"/>
  <c r="H43" i="45"/>
  <c r="N43" i="45" s="1"/>
  <c r="G43" i="45"/>
  <c r="M43" i="45" s="1"/>
  <c r="L33" i="45"/>
  <c r="K33" i="45"/>
  <c r="J33" i="45"/>
  <c r="I33" i="45"/>
  <c r="H33" i="45"/>
  <c r="N33" i="45" s="1"/>
  <c r="G33" i="45"/>
  <c r="M33" i="45" s="1"/>
  <c r="L10" i="45"/>
  <c r="K10" i="45"/>
  <c r="J10" i="45"/>
  <c r="I10" i="45"/>
  <c r="H10" i="45"/>
  <c r="N10" i="45" s="1"/>
  <c r="G10" i="45"/>
  <c r="M10" i="45" s="1"/>
  <c r="L53" i="45"/>
  <c r="K53" i="45"/>
  <c r="J53" i="45"/>
  <c r="I53" i="45"/>
  <c r="H53" i="45"/>
  <c r="N53" i="45" s="1"/>
  <c r="G53" i="45"/>
  <c r="M53" i="45" s="1"/>
  <c r="L52" i="45"/>
  <c r="K52" i="45"/>
  <c r="J52" i="45"/>
  <c r="I52" i="45"/>
  <c r="H52" i="45"/>
  <c r="N52" i="45" s="1"/>
  <c r="G52" i="45"/>
  <c r="M52" i="45" s="1"/>
  <c r="L36" i="45"/>
  <c r="K36" i="45"/>
  <c r="J36" i="45"/>
  <c r="I36" i="45"/>
  <c r="H36" i="45"/>
  <c r="N36" i="45" s="1"/>
  <c r="G36" i="45"/>
  <c r="M36" i="45" s="1"/>
  <c r="L35" i="45"/>
  <c r="K35" i="45"/>
  <c r="J35" i="45"/>
  <c r="I35" i="45"/>
  <c r="H35" i="45"/>
  <c r="N35" i="45" s="1"/>
  <c r="G35" i="45"/>
  <c r="M35" i="45" s="1"/>
  <c r="L25" i="45"/>
  <c r="K25" i="45"/>
  <c r="J25" i="45"/>
  <c r="I25" i="45"/>
  <c r="H25" i="45"/>
  <c r="N25" i="45" s="1"/>
  <c r="G25" i="45"/>
  <c r="M25" i="45" s="1"/>
  <c r="L24" i="45"/>
  <c r="K24" i="45"/>
  <c r="J24" i="45"/>
  <c r="I24" i="45"/>
  <c r="H24" i="45"/>
  <c r="N24" i="45" s="1"/>
  <c r="G24" i="45"/>
  <c r="M24" i="45" s="1"/>
  <c r="L19" i="45"/>
  <c r="K19" i="45"/>
  <c r="J19" i="45"/>
  <c r="I19" i="45"/>
  <c r="H19" i="45"/>
  <c r="N19" i="45" s="1"/>
  <c r="G19" i="45"/>
  <c r="M19" i="45" s="1"/>
  <c r="L18" i="45"/>
  <c r="K18" i="45"/>
  <c r="J18" i="45"/>
  <c r="I18" i="45"/>
  <c r="H18" i="45"/>
  <c r="N18" i="45" s="1"/>
  <c r="G18" i="45"/>
  <c r="M18" i="45" s="1"/>
  <c r="L9" i="45"/>
  <c r="K9" i="45"/>
  <c r="J9" i="45"/>
  <c r="I9" i="45"/>
  <c r="H9" i="45"/>
  <c r="N9" i="45" s="1"/>
  <c r="G9" i="45"/>
  <c r="M9" i="45" s="1"/>
  <c r="L8" i="45"/>
  <c r="K8" i="45"/>
  <c r="J8" i="45"/>
  <c r="I8" i="45"/>
  <c r="H8" i="45"/>
  <c r="N8" i="45" s="1"/>
  <c r="G8" i="45"/>
  <c r="M8" i="45" s="1"/>
  <c r="L15" i="45"/>
  <c r="K15" i="45"/>
  <c r="J15" i="45"/>
  <c r="I15" i="45"/>
  <c r="H15" i="45"/>
  <c r="N15" i="45" s="1"/>
  <c r="G15" i="45"/>
  <c r="M15" i="45" s="1"/>
  <c r="L42" i="44"/>
  <c r="K42" i="44"/>
  <c r="J42" i="44"/>
  <c r="I42" i="44"/>
  <c r="H42" i="44"/>
  <c r="N42" i="44" s="1"/>
  <c r="G42" i="44"/>
  <c r="M42" i="44" s="1"/>
  <c r="L41" i="44"/>
  <c r="K41" i="44"/>
  <c r="J41" i="44"/>
  <c r="I41" i="44"/>
  <c r="H41" i="44"/>
  <c r="N41" i="44" s="1"/>
  <c r="G41" i="44"/>
  <c r="M41" i="44" s="1"/>
  <c r="L53" i="44"/>
  <c r="K53" i="44"/>
  <c r="J53" i="44"/>
  <c r="I53" i="44"/>
  <c r="H53" i="44"/>
  <c r="N53" i="44" s="1"/>
  <c r="G53" i="44"/>
  <c r="M53" i="44" s="1"/>
  <c r="L52" i="44"/>
  <c r="K52" i="44"/>
  <c r="J52" i="44"/>
  <c r="I52" i="44"/>
  <c r="H52" i="44"/>
  <c r="N52" i="44" s="1"/>
  <c r="G52" i="44"/>
  <c r="M52" i="44" s="1"/>
  <c r="L50" i="44"/>
  <c r="K50" i="44"/>
  <c r="J50" i="44"/>
  <c r="I50" i="44"/>
  <c r="H50" i="44"/>
  <c r="N50" i="44" s="1"/>
  <c r="G50" i="44"/>
  <c r="M50" i="44" s="1"/>
  <c r="L36" i="44" l="1"/>
  <c r="K36" i="44"/>
  <c r="J36" i="44"/>
  <c r="I36" i="44"/>
  <c r="H36" i="44"/>
  <c r="N36" i="44" s="1"/>
  <c r="G36" i="44"/>
  <c r="M36" i="44" s="1"/>
  <c r="L35" i="44"/>
  <c r="K35" i="44"/>
  <c r="J35" i="44"/>
  <c r="I35" i="44"/>
  <c r="H35" i="44"/>
  <c r="N35" i="44" s="1"/>
  <c r="G35" i="44"/>
  <c r="M35" i="44" s="1"/>
  <c r="L26" i="44"/>
  <c r="K26" i="44"/>
  <c r="J26" i="44"/>
  <c r="I26" i="44"/>
  <c r="H26" i="44"/>
  <c r="N26" i="44" s="1"/>
  <c r="G26" i="44"/>
  <c r="M26" i="44" s="1"/>
  <c r="L25" i="44"/>
  <c r="K25" i="44"/>
  <c r="J25" i="44"/>
  <c r="I25" i="44"/>
  <c r="H25" i="44"/>
  <c r="N25" i="44" s="1"/>
  <c r="G25" i="44"/>
  <c r="M25" i="44" s="1"/>
  <c r="L24" i="44"/>
  <c r="K24" i="44"/>
  <c r="J24" i="44"/>
  <c r="I24" i="44"/>
  <c r="H24" i="44"/>
  <c r="N24" i="44" s="1"/>
  <c r="G24" i="44"/>
  <c r="M24" i="44" s="1"/>
  <c r="L19" i="44"/>
  <c r="K19" i="44"/>
  <c r="J19" i="44"/>
  <c r="I19" i="44"/>
  <c r="H19" i="44"/>
  <c r="N19" i="44" s="1"/>
  <c r="G19" i="44"/>
  <c r="M19" i="44" s="1"/>
  <c r="L18" i="44"/>
  <c r="K18" i="44"/>
  <c r="J18" i="44"/>
  <c r="I18" i="44"/>
  <c r="H18" i="44"/>
  <c r="N18" i="44" s="1"/>
  <c r="G18" i="44"/>
  <c r="M18" i="44" s="1"/>
  <c r="L16" i="44"/>
  <c r="K16" i="44"/>
  <c r="J16" i="44"/>
  <c r="I16" i="44"/>
  <c r="H16" i="44"/>
  <c r="N16" i="44" s="1"/>
  <c r="G16" i="44"/>
  <c r="M16" i="44" s="1"/>
  <c r="L15" i="44"/>
  <c r="K15" i="44"/>
  <c r="J15" i="44"/>
  <c r="I15" i="44"/>
  <c r="H15" i="44"/>
  <c r="N15" i="44" s="1"/>
  <c r="G15" i="44"/>
  <c r="M15" i="44" s="1"/>
  <c r="L14" i="44"/>
  <c r="K14" i="44"/>
  <c r="J14" i="44"/>
  <c r="I14" i="44"/>
  <c r="H14" i="44"/>
  <c r="N14" i="44" s="1"/>
  <c r="G14" i="44"/>
  <c r="M14" i="44" s="1"/>
  <c r="L9" i="44"/>
  <c r="K9" i="44"/>
  <c r="J9" i="44"/>
  <c r="I9" i="44"/>
  <c r="H9" i="44"/>
  <c r="N9" i="44" s="1"/>
  <c r="G9" i="44"/>
  <c r="M9" i="44" s="1"/>
  <c r="L8" i="44"/>
  <c r="K8" i="44"/>
  <c r="J8" i="44"/>
  <c r="I8" i="44"/>
  <c r="H8" i="44"/>
  <c r="N8" i="44" s="1"/>
  <c r="G8" i="44"/>
  <c r="M8" i="44" s="1"/>
  <c r="L66" i="43"/>
  <c r="K66" i="43"/>
  <c r="J66" i="43"/>
  <c r="I66" i="43"/>
  <c r="H66" i="43"/>
  <c r="N66" i="43" s="1"/>
  <c r="G66" i="43"/>
  <c r="M66" i="43" s="1"/>
  <c r="L65" i="43"/>
  <c r="K65" i="43"/>
  <c r="J65" i="43"/>
  <c r="I65" i="43"/>
  <c r="H65" i="43"/>
  <c r="N65" i="43" s="1"/>
  <c r="G65" i="43"/>
  <c r="M65" i="43" s="1"/>
  <c r="L62" i="43"/>
  <c r="K62" i="43"/>
  <c r="J62" i="43"/>
  <c r="I62" i="43"/>
  <c r="H62" i="43"/>
  <c r="N62" i="43" s="1"/>
  <c r="G62" i="43"/>
  <c r="M62" i="43" s="1"/>
  <c r="L60" i="43"/>
  <c r="K60" i="43"/>
  <c r="J60" i="43"/>
  <c r="I60" i="43"/>
  <c r="H60" i="43"/>
  <c r="N60" i="43" s="1"/>
  <c r="G60" i="43"/>
  <c r="M60" i="43" s="1"/>
  <c r="L51" i="43"/>
  <c r="K51" i="43"/>
  <c r="J51" i="43"/>
  <c r="I51" i="43"/>
  <c r="H51" i="43"/>
  <c r="N51" i="43" s="1"/>
  <c r="G51" i="43"/>
  <c r="M51" i="43" s="1"/>
  <c r="L50" i="43"/>
  <c r="K50" i="43"/>
  <c r="J50" i="43"/>
  <c r="I50" i="43"/>
  <c r="H50" i="43"/>
  <c r="N50" i="43" s="1"/>
  <c r="G50" i="43"/>
  <c r="M50" i="43" s="1"/>
  <c r="L47" i="43"/>
  <c r="K47" i="43"/>
  <c r="J47" i="43"/>
  <c r="I47" i="43"/>
  <c r="H47" i="43"/>
  <c r="N47" i="43" s="1"/>
  <c r="G47" i="43"/>
  <c r="M47" i="43" s="1"/>
  <c r="L48" i="43"/>
  <c r="K48" i="43"/>
  <c r="J48" i="43"/>
  <c r="I48" i="43"/>
  <c r="H48" i="43"/>
  <c r="N48" i="43" s="1"/>
  <c r="G48" i="43"/>
  <c r="M48" i="43" s="1"/>
  <c r="L46" i="43"/>
  <c r="K46" i="43"/>
  <c r="J46" i="43"/>
  <c r="I46" i="43"/>
  <c r="H46" i="43"/>
  <c r="N46" i="43" s="1"/>
  <c r="G46" i="43"/>
  <c r="M46" i="43" s="1"/>
  <c r="L40" i="43"/>
  <c r="K40" i="43"/>
  <c r="J40" i="43"/>
  <c r="I40" i="43"/>
  <c r="H40" i="43"/>
  <c r="N40" i="43" s="1"/>
  <c r="G40" i="43"/>
  <c r="M40" i="43" s="1"/>
  <c r="L39" i="43"/>
  <c r="K39" i="43"/>
  <c r="J39" i="43"/>
  <c r="I39" i="43"/>
  <c r="H39" i="43"/>
  <c r="N39" i="43" s="1"/>
  <c r="G39" i="43"/>
  <c r="M39" i="43" s="1"/>
  <c r="L38" i="43"/>
  <c r="K38" i="43"/>
  <c r="J38" i="43"/>
  <c r="I38" i="43"/>
  <c r="H38" i="43"/>
  <c r="N38" i="43" s="1"/>
  <c r="G38" i="43"/>
  <c r="M38" i="43" s="1"/>
  <c r="L23" i="43"/>
  <c r="K23" i="43"/>
  <c r="J23" i="43"/>
  <c r="I23" i="43"/>
  <c r="H23" i="43"/>
  <c r="N23" i="43" s="1"/>
  <c r="G23" i="43"/>
  <c r="M23" i="43" s="1"/>
  <c r="L30" i="43"/>
  <c r="K30" i="43"/>
  <c r="J30" i="43"/>
  <c r="I30" i="43"/>
  <c r="H30" i="43"/>
  <c r="N30" i="43" s="1"/>
  <c r="G30" i="43"/>
  <c r="M30" i="43" s="1"/>
  <c r="L32" i="43"/>
  <c r="K32" i="43"/>
  <c r="J32" i="43"/>
  <c r="I32" i="43"/>
  <c r="H32" i="43"/>
  <c r="N32" i="43" s="1"/>
  <c r="G32" i="43"/>
  <c r="M32" i="43" s="1"/>
  <c r="L33" i="43"/>
  <c r="K33" i="43"/>
  <c r="J33" i="43"/>
  <c r="I33" i="43"/>
  <c r="H33" i="43"/>
  <c r="N33" i="43" s="1"/>
  <c r="G33" i="43"/>
  <c r="M33" i="43" s="1"/>
  <c r="L22" i="43"/>
  <c r="K22" i="43"/>
  <c r="J22" i="43"/>
  <c r="I22" i="43"/>
  <c r="H22" i="43"/>
  <c r="N22" i="43" s="1"/>
  <c r="G22" i="43"/>
  <c r="M22" i="43" s="1"/>
  <c r="L24" i="43"/>
  <c r="K24" i="43"/>
  <c r="J24" i="43"/>
  <c r="I24" i="43"/>
  <c r="H24" i="43"/>
  <c r="N24" i="43" s="1"/>
  <c r="G24" i="43"/>
  <c r="M24" i="43" s="1"/>
  <c r="L46" i="46" l="1"/>
  <c r="K46" i="46"/>
  <c r="J46" i="46"/>
  <c r="I46" i="46"/>
  <c r="H46" i="46"/>
  <c r="N46" i="46" s="1"/>
  <c r="G46" i="46"/>
  <c r="M46" i="46" s="1"/>
  <c r="L33" i="46"/>
  <c r="K33" i="46"/>
  <c r="J33" i="46"/>
  <c r="I33" i="46"/>
  <c r="H33" i="46"/>
  <c r="N33" i="46" s="1"/>
  <c r="G33" i="46"/>
  <c r="M33" i="46" s="1"/>
  <c r="L30" i="46"/>
  <c r="K30" i="46"/>
  <c r="J30" i="46"/>
  <c r="I30" i="46"/>
  <c r="H30" i="46"/>
  <c r="N30" i="46" s="1"/>
  <c r="G30" i="46"/>
  <c r="M30" i="46" s="1"/>
  <c r="L13" i="46"/>
  <c r="K13" i="46"/>
  <c r="J13" i="46"/>
  <c r="I13" i="46"/>
  <c r="H13" i="46"/>
  <c r="N13" i="46" s="1"/>
  <c r="G13" i="46"/>
  <c r="M13" i="46" s="1"/>
  <c r="L7" i="46" l="1"/>
  <c r="K7" i="46"/>
  <c r="J7" i="46"/>
  <c r="I7" i="46"/>
  <c r="H7" i="46"/>
  <c r="N7" i="46" s="1"/>
  <c r="G7" i="46"/>
  <c r="M7" i="46" s="1"/>
  <c r="L32" i="45"/>
  <c r="K32" i="45"/>
  <c r="J32" i="45"/>
  <c r="I32" i="45"/>
  <c r="H32" i="45"/>
  <c r="N32" i="45" s="1"/>
  <c r="G32" i="45"/>
  <c r="M32" i="45" s="1"/>
  <c r="L31" i="45"/>
  <c r="K31" i="45"/>
  <c r="J31" i="45"/>
  <c r="I31" i="45"/>
  <c r="H31" i="45"/>
  <c r="N31" i="45" s="1"/>
  <c r="G31" i="45"/>
  <c r="M31" i="45" s="1"/>
  <c r="N30" i="45"/>
  <c r="M30" i="45"/>
  <c r="L29" i="45"/>
  <c r="K29" i="45"/>
  <c r="J29" i="45"/>
  <c r="I29" i="45"/>
  <c r="H29" i="45"/>
  <c r="N29" i="45" s="1"/>
  <c r="G29" i="45"/>
  <c r="M29" i="45" s="1"/>
  <c r="L23" i="45"/>
  <c r="K23" i="45"/>
  <c r="J23" i="45"/>
  <c r="I23" i="45"/>
  <c r="H23" i="45"/>
  <c r="N23" i="45" s="1"/>
  <c r="G23" i="45"/>
  <c r="M23" i="45" s="1"/>
  <c r="L13" i="45"/>
  <c r="K13" i="45"/>
  <c r="J13" i="45"/>
  <c r="I13" i="45"/>
  <c r="H13" i="45"/>
  <c r="G13" i="45"/>
  <c r="L14" i="45" l="1"/>
  <c r="K14" i="45"/>
  <c r="J14" i="45"/>
  <c r="I14" i="45"/>
  <c r="H14" i="45"/>
  <c r="N14" i="45" s="1"/>
  <c r="G14" i="45"/>
  <c r="M14" i="45" s="1"/>
  <c r="L33" i="44"/>
  <c r="K33" i="44"/>
  <c r="J33" i="44"/>
  <c r="I33" i="44"/>
  <c r="H33" i="44"/>
  <c r="N33" i="44" s="1"/>
  <c r="G33" i="44"/>
  <c r="M33" i="44" s="1"/>
  <c r="L32" i="44"/>
  <c r="K32" i="44"/>
  <c r="J32" i="44"/>
  <c r="I32" i="44"/>
  <c r="H32" i="44"/>
  <c r="N32" i="44" s="1"/>
  <c r="G32" i="44"/>
  <c r="M32" i="44" s="1"/>
  <c r="N30" i="44"/>
  <c r="M30" i="44"/>
  <c r="L29" i="44"/>
  <c r="K29" i="44"/>
  <c r="J29" i="44"/>
  <c r="I29" i="44"/>
  <c r="H29" i="44"/>
  <c r="N29" i="44" s="1"/>
  <c r="G29" i="44"/>
  <c r="M29" i="44" s="1"/>
  <c r="L13" i="44" l="1"/>
  <c r="K13" i="44"/>
  <c r="J13" i="44"/>
  <c r="I13" i="44"/>
  <c r="H13" i="44"/>
  <c r="N13" i="44" s="1"/>
  <c r="G13" i="44"/>
  <c r="M13" i="44" s="1"/>
  <c r="L63" i="43"/>
  <c r="K63" i="43"/>
  <c r="J63" i="43"/>
  <c r="I63" i="43"/>
  <c r="H63" i="43"/>
  <c r="N63" i="43" s="1"/>
  <c r="G63" i="43"/>
  <c r="M63" i="43" s="1"/>
  <c r="L57" i="43" l="1"/>
  <c r="K57" i="43"/>
  <c r="J57" i="43"/>
  <c r="I57" i="43"/>
  <c r="H57" i="43"/>
  <c r="N57" i="43" s="1"/>
  <c r="G57" i="43"/>
  <c r="M57" i="43" s="1"/>
  <c r="L56" i="43"/>
  <c r="K56" i="43"/>
  <c r="J56" i="43"/>
  <c r="I56" i="43"/>
  <c r="H56" i="43"/>
  <c r="N56" i="43" s="1"/>
  <c r="G56" i="43"/>
  <c r="M56" i="43" s="1"/>
  <c r="L55" i="43"/>
  <c r="K55" i="43"/>
  <c r="J55" i="43"/>
  <c r="I55" i="43"/>
  <c r="H55" i="43"/>
  <c r="N55" i="43" s="1"/>
  <c r="G55" i="43"/>
  <c r="M55" i="43" s="1"/>
  <c r="N44" i="43" l="1"/>
  <c r="M44" i="43"/>
  <c r="L37" i="43"/>
  <c r="K37" i="43"/>
  <c r="J37" i="43"/>
  <c r="I37" i="43"/>
  <c r="H37" i="43"/>
  <c r="N37" i="43" s="1"/>
  <c r="G37" i="43"/>
  <c r="M37" i="43" s="1"/>
  <c r="L27" i="43" l="1"/>
  <c r="K27" i="43"/>
  <c r="J27" i="43"/>
  <c r="I27" i="43"/>
  <c r="H27" i="43"/>
  <c r="N27" i="43" s="1"/>
  <c r="G27" i="43"/>
  <c r="M27" i="43" s="1"/>
  <c r="N51" i="46" l="1"/>
  <c r="M51" i="46"/>
  <c r="N35" i="46"/>
  <c r="M35" i="46"/>
  <c r="L41" i="46"/>
  <c r="K41" i="46"/>
  <c r="J41" i="46"/>
  <c r="I41" i="46"/>
  <c r="H41" i="46"/>
  <c r="N41" i="46" s="1"/>
  <c r="G41" i="46"/>
  <c r="M41" i="46" s="1"/>
  <c r="F54" i="46" l="1"/>
  <c r="E54" i="46"/>
  <c r="L54" i="46"/>
  <c r="K54" i="46"/>
  <c r="J54" i="46"/>
  <c r="I54" i="46"/>
  <c r="H54" i="46"/>
  <c r="G54" i="46"/>
  <c r="F44" i="46"/>
  <c r="E44" i="46"/>
  <c r="L44" i="46"/>
  <c r="L55" i="46" s="1"/>
  <c r="K44" i="46"/>
  <c r="J44" i="46"/>
  <c r="J55" i="46" s="1"/>
  <c r="I44" i="46"/>
  <c r="I55" i="46" s="1"/>
  <c r="H44" i="46"/>
  <c r="G44" i="46"/>
  <c r="L32" i="46"/>
  <c r="K32" i="46"/>
  <c r="J32" i="46"/>
  <c r="I32" i="46"/>
  <c r="H32" i="46"/>
  <c r="N32" i="46" s="1"/>
  <c r="G32" i="46"/>
  <c r="M32" i="46" s="1"/>
  <c r="N31" i="46"/>
  <c r="M31" i="46"/>
  <c r="L24" i="46"/>
  <c r="K24" i="46"/>
  <c r="J24" i="46"/>
  <c r="I24" i="46"/>
  <c r="H24" i="46"/>
  <c r="N24" i="46" s="1"/>
  <c r="G24" i="46"/>
  <c r="M24" i="46" s="1"/>
  <c r="N18" i="46"/>
  <c r="M18" i="46"/>
  <c r="L17" i="46"/>
  <c r="K17" i="46"/>
  <c r="J17" i="46"/>
  <c r="I17" i="46"/>
  <c r="H17" i="46"/>
  <c r="N17" i="46" s="1"/>
  <c r="G17" i="46"/>
  <c r="M17" i="46" s="1"/>
  <c r="L16" i="46"/>
  <c r="K16" i="46"/>
  <c r="J16" i="46"/>
  <c r="I16" i="46"/>
  <c r="H16" i="46"/>
  <c r="N16" i="46" s="1"/>
  <c r="G16" i="46"/>
  <c r="M16" i="46" s="1"/>
  <c r="K55" i="46" l="1"/>
  <c r="G55" i="46"/>
  <c r="M44" i="46"/>
  <c r="H55" i="46"/>
  <c r="N44" i="46"/>
  <c r="M54" i="46"/>
  <c r="N54" i="46"/>
  <c r="N55" i="46" l="1"/>
  <c r="M55" i="46"/>
  <c r="L15" i="46" l="1"/>
  <c r="K15" i="46"/>
  <c r="J15" i="46"/>
  <c r="I15" i="46"/>
  <c r="H15" i="46"/>
  <c r="N15" i="46" s="1"/>
  <c r="G15" i="46"/>
  <c r="M15" i="46" s="1"/>
  <c r="N51" i="45"/>
  <c r="M51" i="45"/>
  <c r="L48" i="45" l="1"/>
  <c r="K48" i="45"/>
  <c r="J48" i="45"/>
  <c r="I48" i="45"/>
  <c r="H48" i="45"/>
  <c r="N48" i="45" s="1"/>
  <c r="G48" i="45"/>
  <c r="M48" i="45" s="1"/>
  <c r="N47" i="45"/>
  <c r="M47" i="45"/>
  <c r="L14" i="46" l="1"/>
  <c r="K14" i="46"/>
  <c r="J14" i="46"/>
  <c r="I14" i="46"/>
  <c r="H14" i="46"/>
  <c r="N14" i="46" s="1"/>
  <c r="G14" i="46"/>
  <c r="M14" i="46" s="1"/>
  <c r="L46" i="45" l="1"/>
  <c r="K46" i="45"/>
  <c r="J46" i="45"/>
  <c r="I46" i="45"/>
  <c r="H46" i="45"/>
  <c r="G46" i="45"/>
  <c r="N46" i="45"/>
  <c r="M46" i="45"/>
  <c r="N34" i="45" l="1"/>
  <c r="M34" i="45"/>
  <c r="N17" i="45" l="1"/>
  <c r="M17" i="45"/>
  <c r="L16" i="45"/>
  <c r="K16" i="45"/>
  <c r="J16" i="45"/>
  <c r="I16" i="45"/>
  <c r="H16" i="45"/>
  <c r="N16" i="45" s="1"/>
  <c r="G16" i="45"/>
  <c r="M16" i="45" s="1"/>
  <c r="N13" i="45" l="1"/>
  <c r="M13" i="45"/>
  <c r="L7" i="45"/>
  <c r="K7" i="45"/>
  <c r="J7" i="45"/>
  <c r="I7" i="45"/>
  <c r="H7" i="45"/>
  <c r="N7" i="45" s="1"/>
  <c r="G7" i="45"/>
  <c r="M7" i="45" s="1"/>
  <c r="L47" i="44"/>
  <c r="K47" i="44"/>
  <c r="J47" i="44"/>
  <c r="I47" i="44"/>
  <c r="H47" i="44"/>
  <c r="N47" i="44" s="1"/>
  <c r="G47" i="44"/>
  <c r="M47" i="44" s="1"/>
  <c r="L46" i="44"/>
  <c r="K46" i="44"/>
  <c r="J46" i="44"/>
  <c r="I46" i="44"/>
  <c r="H46" i="44"/>
  <c r="N46" i="44" s="1"/>
  <c r="G46" i="44"/>
  <c r="M46" i="44" s="1"/>
  <c r="L43" i="44"/>
  <c r="K43" i="44"/>
  <c r="J43" i="44"/>
  <c r="I43" i="44"/>
  <c r="H43" i="44"/>
  <c r="N43" i="44" s="1"/>
  <c r="G43" i="44"/>
  <c r="M43" i="44" s="1"/>
  <c r="L40" i="44"/>
  <c r="K40" i="44"/>
  <c r="J40" i="44"/>
  <c r="I40" i="44"/>
  <c r="H40" i="44"/>
  <c r="N40" i="44" s="1"/>
  <c r="G40" i="44"/>
  <c r="M40" i="44" s="1"/>
  <c r="F54" i="44"/>
  <c r="E54" i="44"/>
  <c r="N51" i="44"/>
  <c r="M51" i="44"/>
  <c r="L54" i="44"/>
  <c r="K54" i="44"/>
  <c r="J54" i="44"/>
  <c r="I54" i="44"/>
  <c r="H54" i="44"/>
  <c r="G54" i="44"/>
  <c r="F44" i="44"/>
  <c r="E44" i="44"/>
  <c r="L44" i="44"/>
  <c r="L55" i="44" s="1"/>
  <c r="K44" i="44"/>
  <c r="K55" i="44" s="1"/>
  <c r="J44" i="44"/>
  <c r="J55" i="44" s="1"/>
  <c r="I44" i="44"/>
  <c r="I55" i="44" s="1"/>
  <c r="H44" i="44"/>
  <c r="G44" i="44"/>
  <c r="N34" i="44"/>
  <c r="M34" i="44"/>
  <c r="L31" i="44"/>
  <c r="K31" i="44"/>
  <c r="J31" i="44"/>
  <c r="I31" i="44"/>
  <c r="H31" i="44"/>
  <c r="N31" i="44" s="1"/>
  <c r="G31" i="44"/>
  <c r="M31" i="44" s="1"/>
  <c r="G55" i="44" l="1"/>
  <c r="M44" i="44"/>
  <c r="H55" i="44"/>
  <c r="N44" i="44"/>
  <c r="M54" i="44"/>
  <c r="N54" i="44"/>
  <c r="N55" i="44" l="1"/>
  <c r="M55" i="44"/>
  <c r="L23" i="44"/>
  <c r="K23" i="44"/>
  <c r="J23" i="44"/>
  <c r="I23" i="44"/>
  <c r="H23" i="44"/>
  <c r="N23" i="44" s="1"/>
  <c r="G23" i="44"/>
  <c r="M23" i="44" s="1"/>
  <c r="N17" i="44"/>
  <c r="M17" i="44"/>
  <c r="L10" i="44" l="1"/>
  <c r="K10" i="44"/>
  <c r="J10" i="44"/>
  <c r="I10" i="44"/>
  <c r="H10" i="44"/>
  <c r="N10" i="44" s="1"/>
  <c r="G10" i="44"/>
  <c r="M10" i="44" s="1"/>
  <c r="L7" i="44"/>
  <c r="K7" i="44"/>
  <c r="J7" i="44"/>
  <c r="I7" i="44"/>
  <c r="H7" i="44"/>
  <c r="N7" i="44" s="1"/>
  <c r="G7" i="44"/>
  <c r="M7" i="44" s="1"/>
  <c r="N64" i="43" l="1"/>
  <c r="M64" i="43"/>
  <c r="L61" i="43" l="1"/>
  <c r="K61" i="43"/>
  <c r="J61" i="43"/>
  <c r="I61" i="43"/>
  <c r="H61" i="43"/>
  <c r="N61" i="43" s="1"/>
  <c r="G61" i="43"/>
  <c r="M61" i="43" s="1"/>
  <c r="N31" i="43"/>
  <c r="M31" i="43"/>
  <c r="L43" i="43"/>
  <c r="K43" i="43"/>
  <c r="J43" i="43"/>
  <c r="I43" i="43"/>
  <c r="H43" i="43"/>
  <c r="N43" i="43" s="1"/>
  <c r="G43" i="43"/>
  <c r="M43" i="43" s="1"/>
  <c r="N49" i="43"/>
  <c r="M49" i="43"/>
  <c r="L45" i="43" l="1"/>
  <c r="K45" i="43"/>
  <c r="J45" i="43"/>
  <c r="I45" i="43"/>
  <c r="H45" i="43"/>
  <c r="N45" i="43" s="1"/>
  <c r="G45" i="43"/>
  <c r="M45" i="43" s="1"/>
  <c r="L21" i="43" l="1"/>
  <c r="K21" i="43"/>
  <c r="J21" i="43"/>
  <c r="I21" i="43"/>
  <c r="H21" i="43"/>
  <c r="N21" i="43" s="1"/>
  <c r="G21" i="43"/>
  <c r="M21" i="43" s="1"/>
  <c r="F25" i="43"/>
  <c r="L29" i="43"/>
  <c r="K29" i="43"/>
  <c r="J29" i="43"/>
  <c r="I29" i="43"/>
  <c r="H29" i="43"/>
  <c r="N29" i="43" s="1"/>
  <c r="G29" i="43"/>
  <c r="M29" i="43" s="1"/>
  <c r="N28" i="43" l="1"/>
  <c r="M28" i="43"/>
  <c r="F28" i="46" l="1"/>
  <c r="E28" i="46"/>
  <c r="L28" i="46"/>
  <c r="K28" i="46"/>
  <c r="J28" i="46"/>
  <c r="I28" i="46"/>
  <c r="H28" i="46"/>
  <c r="N28" i="46" s="1"/>
  <c r="G28" i="46"/>
  <c r="M28" i="46" s="1"/>
  <c r="F11" i="46"/>
  <c r="E11" i="46"/>
  <c r="L11" i="46"/>
  <c r="K11" i="46"/>
  <c r="J11" i="46"/>
  <c r="I11" i="46"/>
  <c r="H11" i="46"/>
  <c r="N11" i="46" s="1"/>
  <c r="G11" i="46"/>
  <c r="M11" i="46" s="1"/>
  <c r="F38" i="46"/>
  <c r="E38" i="46"/>
  <c r="L38" i="46"/>
  <c r="K38" i="46"/>
  <c r="J38" i="46"/>
  <c r="I38" i="46"/>
  <c r="H38" i="46"/>
  <c r="G38" i="46"/>
  <c r="F21" i="46"/>
  <c r="E21" i="46"/>
  <c r="L21" i="46"/>
  <c r="K21" i="46"/>
  <c r="J21" i="46"/>
  <c r="I21" i="46"/>
  <c r="H21" i="46"/>
  <c r="G21" i="46"/>
  <c r="F44" i="45"/>
  <c r="E44" i="45"/>
  <c r="L44" i="45"/>
  <c r="K44" i="45"/>
  <c r="J44" i="45"/>
  <c r="I44" i="45"/>
  <c r="H44" i="45"/>
  <c r="N44" i="45" s="1"/>
  <c r="G44" i="45"/>
  <c r="M44" i="45" s="1"/>
  <c r="I39" i="46" l="1"/>
  <c r="K39" i="46"/>
  <c r="J39" i="46"/>
  <c r="L39" i="46"/>
  <c r="I22" i="46"/>
  <c r="K22" i="46"/>
  <c r="J22" i="46"/>
  <c r="L22" i="46"/>
  <c r="G22" i="46"/>
  <c r="H22" i="46"/>
  <c r="G39" i="46"/>
  <c r="M21" i="46"/>
  <c r="H39" i="46"/>
  <c r="M38" i="46"/>
  <c r="N21" i="46"/>
  <c r="N38" i="46"/>
  <c r="N39" i="46" l="1"/>
  <c r="M39" i="46"/>
  <c r="N22" i="46"/>
  <c r="M22" i="46"/>
  <c r="F27" i="45" l="1"/>
  <c r="E27" i="45"/>
  <c r="L27" i="45"/>
  <c r="K27" i="45"/>
  <c r="J27" i="45"/>
  <c r="I27" i="45"/>
  <c r="H27" i="45"/>
  <c r="N27" i="45" s="1"/>
  <c r="G27" i="45"/>
  <c r="M27" i="45" s="1"/>
  <c r="F11" i="45" l="1"/>
  <c r="E11" i="45"/>
  <c r="L11" i="45"/>
  <c r="K11" i="45"/>
  <c r="J11" i="45"/>
  <c r="I11" i="45"/>
  <c r="H11" i="45"/>
  <c r="N11" i="45" s="1"/>
  <c r="G11" i="45"/>
  <c r="M11" i="45" s="1"/>
  <c r="F54" i="45"/>
  <c r="E54" i="45"/>
  <c r="L54" i="45"/>
  <c r="K54" i="45"/>
  <c r="J54" i="45"/>
  <c r="I54" i="45"/>
  <c r="H54" i="45"/>
  <c r="G54" i="45"/>
  <c r="L55" i="45"/>
  <c r="K55" i="45"/>
  <c r="J55" i="45"/>
  <c r="I55" i="45"/>
  <c r="F37" i="45"/>
  <c r="E37" i="45"/>
  <c r="L37" i="45"/>
  <c r="J37" i="45"/>
  <c r="F20" i="45"/>
  <c r="E20" i="45"/>
  <c r="J20" i="45"/>
  <c r="H37" i="45" l="1"/>
  <c r="L38" i="45"/>
  <c r="J21" i="45"/>
  <c r="G37" i="45"/>
  <c r="G38" i="45" s="1"/>
  <c r="K37" i="45"/>
  <c r="K38" i="45" s="1"/>
  <c r="G20" i="45"/>
  <c r="G21" i="45" s="1"/>
  <c r="I20" i="45"/>
  <c r="K20" i="45"/>
  <c r="L20" i="45"/>
  <c r="J38" i="45"/>
  <c r="I37" i="45"/>
  <c r="I38" i="45" s="1"/>
  <c r="N20" i="45"/>
  <c r="H20" i="45"/>
  <c r="G55" i="45"/>
  <c r="H55" i="45"/>
  <c r="M54" i="45"/>
  <c r="M55" i="45" s="1"/>
  <c r="M20" i="45"/>
  <c r="M21" i="45" s="1"/>
  <c r="N37" i="45"/>
  <c r="N54" i="45"/>
  <c r="F27" i="44"/>
  <c r="E27" i="44"/>
  <c r="L27" i="44"/>
  <c r="K27" i="44"/>
  <c r="J27" i="44"/>
  <c r="I27" i="44"/>
  <c r="H27" i="44"/>
  <c r="N27" i="44" s="1"/>
  <c r="G27" i="44"/>
  <c r="M27" i="44" s="1"/>
  <c r="F11" i="44"/>
  <c r="E11" i="44"/>
  <c r="L11" i="44"/>
  <c r="K11" i="44"/>
  <c r="J11" i="44"/>
  <c r="I11" i="44"/>
  <c r="H11" i="44"/>
  <c r="N11" i="44" s="1"/>
  <c r="G11" i="44"/>
  <c r="M11" i="44" s="1"/>
  <c r="F37" i="44"/>
  <c r="E37" i="44"/>
  <c r="L37" i="44"/>
  <c r="F20" i="44"/>
  <c r="E20" i="44"/>
  <c r="J20" i="44"/>
  <c r="H37" i="44" l="1"/>
  <c r="M37" i="45"/>
  <c r="N55" i="45"/>
  <c r="M38" i="45"/>
  <c r="K21" i="45"/>
  <c r="L21" i="45"/>
  <c r="I21" i="45"/>
  <c r="H38" i="45"/>
  <c r="N38" i="45"/>
  <c r="N21" i="45"/>
  <c r="H21" i="45"/>
  <c r="J37" i="44"/>
  <c r="J38" i="44" s="1"/>
  <c r="L38" i="44"/>
  <c r="J21" i="44"/>
  <c r="G37" i="44"/>
  <c r="G38" i="44" s="1"/>
  <c r="K37" i="44"/>
  <c r="K38" i="44" s="1"/>
  <c r="G20" i="44"/>
  <c r="G21" i="44" s="1"/>
  <c r="I20" i="44"/>
  <c r="K20" i="44"/>
  <c r="L20" i="44"/>
  <c r="I37" i="44"/>
  <c r="I38" i="44" s="1"/>
  <c r="N20" i="44"/>
  <c r="H20" i="44"/>
  <c r="M20" i="44"/>
  <c r="M21" i="44" s="1"/>
  <c r="N37" i="44"/>
  <c r="L21" i="44" l="1"/>
  <c r="I21" i="44"/>
  <c r="M37" i="44"/>
  <c r="M38" i="44" s="1"/>
  <c r="K21" i="44"/>
  <c r="H38" i="44"/>
  <c r="N38" i="44"/>
  <c r="N21" i="44"/>
  <c r="H21" i="44"/>
  <c r="F67" i="43" l="1"/>
  <c r="E67" i="43"/>
  <c r="L67" i="43"/>
  <c r="K67" i="43"/>
  <c r="J67" i="43"/>
  <c r="I67" i="43"/>
  <c r="H67" i="43"/>
  <c r="G67" i="43"/>
  <c r="F58" i="43"/>
  <c r="E58" i="43"/>
  <c r="L58" i="43"/>
  <c r="L68" i="43" s="1"/>
  <c r="K58" i="43"/>
  <c r="K68" i="43" s="1"/>
  <c r="J58" i="43"/>
  <c r="J68" i="43" s="1"/>
  <c r="I58" i="43"/>
  <c r="I68" i="43" s="1"/>
  <c r="H58" i="43"/>
  <c r="G58" i="43"/>
  <c r="F52" i="43"/>
  <c r="E52" i="43"/>
  <c r="L52" i="43"/>
  <c r="K52" i="43"/>
  <c r="J52" i="43"/>
  <c r="I52" i="43"/>
  <c r="H52" i="43"/>
  <c r="G52" i="43"/>
  <c r="F41" i="43"/>
  <c r="E41" i="43"/>
  <c r="L41" i="43"/>
  <c r="L53" i="43" s="1"/>
  <c r="K41" i="43"/>
  <c r="K53" i="43" s="1"/>
  <c r="J41" i="43"/>
  <c r="J53" i="43" s="1"/>
  <c r="I41" i="43"/>
  <c r="I53" i="43" s="1"/>
  <c r="H41" i="43"/>
  <c r="G41" i="43"/>
  <c r="H68" i="43" l="1"/>
  <c r="N58" i="43"/>
  <c r="G68" i="43"/>
  <c r="M58" i="43"/>
  <c r="M67" i="43"/>
  <c r="N67" i="43"/>
  <c r="G53" i="43"/>
  <c r="M41" i="43"/>
  <c r="H53" i="43"/>
  <c r="N41" i="43"/>
  <c r="M52" i="43"/>
  <c r="N52" i="43"/>
  <c r="M68" i="43" l="1"/>
  <c r="N68" i="43"/>
  <c r="N53" i="43"/>
  <c r="M53" i="43"/>
  <c r="F34" i="43" l="1"/>
  <c r="E34" i="43"/>
  <c r="L34" i="43"/>
  <c r="K34" i="43"/>
  <c r="J34" i="43"/>
  <c r="I34" i="43"/>
  <c r="H34" i="43"/>
  <c r="G34" i="43"/>
  <c r="E25" i="43"/>
  <c r="L25" i="43"/>
  <c r="K25" i="43"/>
  <c r="J25" i="43"/>
  <c r="I25" i="43"/>
  <c r="H25" i="43"/>
  <c r="G25" i="43"/>
  <c r="H35" i="43" l="1"/>
  <c r="J35" i="43"/>
  <c r="L35" i="43"/>
  <c r="G35" i="43"/>
  <c r="I35" i="43"/>
  <c r="K35" i="43"/>
  <c r="M25" i="43"/>
  <c r="N25" i="43"/>
  <c r="M34" i="43"/>
  <c r="N34" i="43"/>
  <c r="N35" i="43" l="1"/>
  <c r="M35" i="43"/>
</calcChain>
</file>

<file path=xl/sharedStrings.xml><?xml version="1.0" encoding="utf-8"?>
<sst xmlns="http://schemas.openxmlformats.org/spreadsheetml/2006/main" count="594" uniqueCount="241">
  <si>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</si>
  <si>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</si>
  <si>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</si>
  <si>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</si>
  <si>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</si>
  <si>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</si>
  <si>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</si>
  <si>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</si>
  <si>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ЗАВТРАК</t>
  </si>
  <si>
    <t>ОБЕД</t>
  </si>
  <si>
    <t>Макаронные изделия отварные</t>
  </si>
  <si>
    <t>Чай с лимоном</t>
  </si>
  <si>
    <t>ИТОГО ЗА ДЕНЬ:</t>
  </si>
  <si>
    <t>ИТОГО  ЗАВТРАК:</t>
  </si>
  <si>
    <t>ИТОГО  ОБЕД:</t>
  </si>
  <si>
    <t>7-11 лет</t>
  </si>
  <si>
    <t xml:space="preserve"> Чай с сахаром</t>
  </si>
  <si>
    <t>Каша рисовая молочная жидкая</t>
  </si>
  <si>
    <t>Неделя: первая, третья</t>
  </si>
  <si>
    <t>Каша ячневая молочная вязкая</t>
  </si>
  <si>
    <t>46/2008г</t>
  </si>
  <si>
    <t>92/2008г</t>
  </si>
  <si>
    <t>Картофельное пюре</t>
  </si>
  <si>
    <t>39/2008г</t>
  </si>
  <si>
    <t>Хлеб ржаной</t>
  </si>
  <si>
    <t xml:space="preserve">Каша "Дружба" вязкая </t>
  </si>
  <si>
    <t>Каша пшеничная молочная жидкая</t>
  </si>
  <si>
    <t xml:space="preserve"> </t>
  </si>
  <si>
    <t>Борщ с капустой и картофелем со сметаной</t>
  </si>
  <si>
    <t>Тефтели 2-й вариант</t>
  </si>
  <si>
    <t>закуска</t>
  </si>
  <si>
    <t>напиток</t>
  </si>
  <si>
    <t>суп</t>
  </si>
  <si>
    <t>гарнир</t>
  </si>
  <si>
    <t>рыба</t>
  </si>
  <si>
    <t>чай с лимоном</t>
  </si>
  <si>
    <t>чай с сахаром</t>
  </si>
  <si>
    <t>картофельное пюре</t>
  </si>
  <si>
    <t>компот из с/ф</t>
  </si>
  <si>
    <t>рис припущенный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</si>
  <si>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</si>
  <si>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</si>
  <si>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</si>
  <si>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</si>
  <si>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</si>
  <si>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</si>
  <si>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</si>
  <si>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462/2004г</t>
  </si>
  <si>
    <t>макаронные изделия отварные</t>
  </si>
  <si>
    <t>компот из яблок</t>
  </si>
  <si>
    <t>97/2008г</t>
  </si>
  <si>
    <t>311/2004г</t>
  </si>
  <si>
    <t>каша гречневая</t>
  </si>
  <si>
    <t>биточки особые</t>
  </si>
  <si>
    <t>452/2004г</t>
  </si>
  <si>
    <t>Биточки особые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</si>
  <si>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</si>
  <si>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</si>
  <si>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</si>
  <si>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</si>
  <si>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БЛЮДО</t>
  </si>
  <si>
    <t>нарезка огурцы</t>
  </si>
  <si>
    <t>суп с вермишелью</t>
  </si>
  <si>
    <t>мясо</t>
  </si>
  <si>
    <t>птица</t>
  </si>
  <si>
    <t>борщ</t>
  </si>
  <si>
    <t>каша пшеничная</t>
  </si>
  <si>
    <t>ПП</t>
  </si>
  <si>
    <t>ПОНЕДЕЛЬНИК</t>
  </si>
  <si>
    <t>ВТОРНИК</t>
  </si>
  <si>
    <t>День недели</t>
  </si>
  <si>
    <t>СРЕДА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</si>
  <si>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</si>
  <si>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</si>
  <si>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</si>
  <si>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</si>
  <si>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12-18 лет</t>
  </si>
  <si>
    <t>Огурцы свежие порционно</t>
  </si>
  <si>
    <t>459/2021г</t>
  </si>
  <si>
    <t>457/2021г</t>
  </si>
  <si>
    <t>ЧЕТВЕРГ</t>
  </si>
  <si>
    <t>СУББОТА</t>
  </si>
  <si>
    <t>ПЯТНИЦА</t>
  </si>
  <si>
    <t>495/2021г</t>
  </si>
  <si>
    <t>Компот из смеси сухофруктов</t>
  </si>
  <si>
    <t>Неделя: вторая, четвертая</t>
  </si>
  <si>
    <t>Список литературы</t>
  </si>
  <si>
    <t>каша</t>
  </si>
  <si>
    <t>обед</t>
  </si>
  <si>
    <t>завтрак</t>
  </si>
  <si>
    <t>2 нед.</t>
  </si>
  <si>
    <t>1 нед.</t>
  </si>
  <si>
    <t>каша манная</t>
  </si>
  <si>
    <t>каша пшенная</t>
  </si>
  <si>
    <t>каша рисовая</t>
  </si>
  <si>
    <t>каша ячневая</t>
  </si>
  <si>
    <t>Каша гречневая вязкая</t>
  </si>
  <si>
    <t>понедельник</t>
  </si>
  <si>
    <t>вторник</t>
  </si>
  <si>
    <t>среда</t>
  </si>
  <si>
    <t>четверг</t>
  </si>
  <si>
    <t>пятница</t>
  </si>
  <si>
    <t>суббота</t>
  </si>
  <si>
    <t>творожная запеканка</t>
  </si>
  <si>
    <t>каша "дружба"</t>
  </si>
  <si>
    <t>сыр</t>
  </si>
  <si>
    <t>масло</t>
  </si>
  <si>
    <t>печенье</t>
  </si>
  <si>
    <t>какао с молоком</t>
  </si>
  <si>
    <t>нарезка помидоры</t>
  </si>
  <si>
    <t>рассольник</t>
  </si>
  <si>
    <t>щи</t>
  </si>
  <si>
    <t>суп гороховый</t>
  </si>
  <si>
    <t xml:space="preserve">каша пшенная </t>
  </si>
  <si>
    <t>тефтели 2-вариант</t>
  </si>
  <si>
    <t>шницель</t>
  </si>
  <si>
    <t>плов из птицы</t>
  </si>
  <si>
    <t>доп.питание</t>
  </si>
  <si>
    <t>омлет</t>
  </si>
  <si>
    <t>кофейный напиток</t>
  </si>
  <si>
    <t>суп крестьянский с крупой</t>
  </si>
  <si>
    <t>токмач (суп-лапша)</t>
  </si>
  <si>
    <t>макронные изделия отварные</t>
  </si>
  <si>
    <t>колобки 
мясо-картофельные</t>
  </si>
  <si>
    <t>492/2004г</t>
  </si>
  <si>
    <t>Плов из птицы</t>
  </si>
  <si>
    <t>213/2021г</t>
  </si>
  <si>
    <t>106/2008г</t>
  </si>
  <si>
    <t xml:space="preserve">Запеканка из творога </t>
  </si>
  <si>
    <t>60/2013г</t>
  </si>
  <si>
    <t>Рассольник ленинградский со сметаной</t>
  </si>
  <si>
    <t>236/2021г</t>
  </si>
  <si>
    <t>Сгущенное молоко</t>
  </si>
  <si>
    <t>Фрукт</t>
  </si>
  <si>
    <t xml:space="preserve">Суп картофельный с макаронными изделиями </t>
  </si>
  <si>
    <t>462/2021г</t>
  </si>
  <si>
    <t>Какао с молоком</t>
  </si>
  <si>
    <t>451/2004г</t>
  </si>
  <si>
    <t>Шницель</t>
  </si>
  <si>
    <t>Помидоры свежие порционно</t>
  </si>
  <si>
    <t>41/2008г</t>
  </si>
  <si>
    <t>227/2021г</t>
  </si>
  <si>
    <t>47/2008г</t>
  </si>
  <si>
    <t>Суп картофельный с бобовыми</t>
  </si>
  <si>
    <t>Каша пшенная жидкая</t>
  </si>
  <si>
    <t>230/2021г</t>
  </si>
  <si>
    <t>Каша манная молочная жидкая</t>
  </si>
  <si>
    <t>48/2008г</t>
  </si>
  <si>
    <t>Суп крестьянский с крупой</t>
  </si>
  <si>
    <t>486/2021г</t>
  </si>
  <si>
    <t>Компот из свежих плодов и ягод</t>
  </si>
  <si>
    <t>464/2021г</t>
  </si>
  <si>
    <t>Кофейный напиток</t>
  </si>
  <si>
    <t>Токмач (суп-лапша с картофелем и мясом)</t>
  </si>
  <si>
    <t>50/2008г</t>
  </si>
  <si>
    <t>Салат из свежих огурцов с луком</t>
  </si>
  <si>
    <t>15/2021г</t>
  </si>
  <si>
    <t>94/2008г</t>
  </si>
  <si>
    <t>Рис припущеный</t>
  </si>
  <si>
    <t>74/2008г</t>
  </si>
  <si>
    <t>Колобки мясо-картофельные</t>
  </si>
  <si>
    <t>Каша пшённая молочная жидкая</t>
  </si>
  <si>
    <t>112/2008г</t>
  </si>
  <si>
    <t>Основное  двенадцатидневное меню для организации питания детей</t>
  </si>
  <si>
    <t xml:space="preserve">в летнем оздоровительном лагере дневного пребывания </t>
  </si>
  <si>
    <t>232/2021г</t>
  </si>
  <si>
    <t>229/2021</t>
  </si>
  <si>
    <t>235/2021г</t>
  </si>
  <si>
    <t>МБОУ "Пазяльская ООШ"</t>
  </si>
  <si>
    <t>суп молочный</t>
  </si>
  <si>
    <t xml:space="preserve">масло </t>
  </si>
  <si>
    <t>салат св.капусты и 
св. огурцов</t>
  </si>
  <si>
    <t>салат из свеклы с чесноком</t>
  </si>
  <si>
    <t>капуста тушеная с мясом</t>
  </si>
  <si>
    <t>гуляш</t>
  </si>
  <si>
    <t>каша дружба</t>
  </si>
  <si>
    <t>салат из св.огурцов и помидор</t>
  </si>
  <si>
    <t>салат тазалык</t>
  </si>
  <si>
    <t xml:space="preserve">салат из св огурцов с луком </t>
  </si>
  <si>
    <t>салат из свеклы с сыром и чесноком</t>
  </si>
  <si>
    <t>суп  с крупой</t>
  </si>
  <si>
    <t>котлета рыбная "нептун"</t>
  </si>
  <si>
    <t>5/2021г</t>
  </si>
  <si>
    <t>Салат из капусты белокочанной и огурцов</t>
  </si>
  <si>
    <t>160/2004г</t>
  </si>
  <si>
    <t>Суп молочный с макаронными изделиями</t>
  </si>
  <si>
    <t>34/2021г</t>
  </si>
  <si>
    <t>Салат из свеклы с чесноком</t>
  </si>
  <si>
    <t>63/2008г</t>
  </si>
  <si>
    <t>Гуляш</t>
  </si>
  <si>
    <t>62/2013г</t>
  </si>
  <si>
    <t>Суп картофельный с крупой</t>
  </si>
  <si>
    <t>Салат из свежих помидоров и огурцов</t>
  </si>
  <si>
    <t>18/2021г</t>
  </si>
  <si>
    <t>15/2013г</t>
  </si>
  <si>
    <t>Салат "Тазалык"</t>
  </si>
  <si>
    <t xml:space="preserve">Щи из свежей капусты с картофелем </t>
  </si>
  <si>
    <t>88/2008г</t>
  </si>
  <si>
    <t>Котлета рыбная "Нептун"</t>
  </si>
  <si>
    <t>33/2021г</t>
  </si>
  <si>
    <t>Салат из свеклы с сыром и чесноком</t>
  </si>
  <si>
    <t>Директор МБОУ "Пазяльская ООШ"</t>
  </si>
  <si>
    <t>Чувашов О.А._____________</t>
  </si>
  <si>
    <t xml:space="preserve">Омлет натуральный </t>
  </si>
  <si>
    <t>суп с консервой</t>
  </si>
  <si>
    <t>компот из урюка</t>
  </si>
  <si>
    <t>Птица в соусе с томатом</t>
  </si>
  <si>
    <t>Котлета</t>
  </si>
  <si>
    <t>573/2021г</t>
  </si>
  <si>
    <t>Хлеб пшеничный формовой</t>
  </si>
  <si>
    <t>574/2021г</t>
  </si>
  <si>
    <t>494/2021г</t>
  </si>
  <si>
    <t>Компот из плодов или ягод сушеных</t>
  </si>
  <si>
    <t>75/2021г</t>
  </si>
  <si>
    <t>Сыр полутвердый (порциями)</t>
  </si>
  <si>
    <t>96/2004г</t>
  </si>
  <si>
    <t>Масло  (порциями)</t>
  </si>
  <si>
    <t>ТК-2</t>
  </si>
  <si>
    <t>141/2008г</t>
  </si>
  <si>
    <t>Соус томатный</t>
  </si>
  <si>
    <t>ТК-1</t>
  </si>
  <si>
    <t>196/2013г</t>
  </si>
  <si>
    <t>Капуста тушеная с мясом</t>
  </si>
  <si>
    <t>122/2021г</t>
  </si>
  <si>
    <t>Суп с рыбными консервами</t>
  </si>
  <si>
    <t>жаркое по-домашнему</t>
  </si>
  <si>
    <t>176/2013г</t>
  </si>
  <si>
    <t>Жаркое по-домашнему</t>
  </si>
  <si>
    <t>202/2021г</t>
  </si>
  <si>
    <t>Каша гречневая рассыпчатая</t>
  </si>
  <si>
    <t>367/2021г</t>
  </si>
  <si>
    <t>501/2021г</t>
  </si>
  <si>
    <t>Соки овощные, фруктовые и ягодные</t>
  </si>
  <si>
    <t>сок фруктовый</t>
  </si>
  <si>
    <t>63/2013г</t>
  </si>
  <si>
    <t>Пуштыешыд</t>
  </si>
  <si>
    <t>суп с яйцом</t>
  </si>
  <si>
    <t>котлета</t>
  </si>
  <si>
    <t>216/2004г</t>
  </si>
  <si>
    <t xml:space="preserve">Картофель тушеный </t>
  </si>
  <si>
    <t xml:space="preserve">карофель тушеный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</si>
</sst>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u/>
      <sz val="10"/>
      <name val="Calibri"/>
      <family val="2"/>
      <charset val="204"/>
    </font>
    <font>
      <b/>
      <sz val="9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9" xfId="0" applyFont="1" applyBorder="1"/>
    <xf numFmtId="0" fontId="1" fillId="2" borderId="9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2" fillId="2" borderId="14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2" fontId="9" fillId="5" borderId="14" xfId="0" applyNumberFormat="1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/>
    </xf>
    <xf numFmtId="2" fontId="2" fillId="5" borderId="19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2" fontId="2" fillId="5" borderId="14" xfId="0" applyNumberFormat="1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 vertical="center"/>
    </xf>
    <xf numFmtId="2" fontId="2" fillId="5" borderId="20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Border="1"/>
    <xf numFmtId="0" fontId="17" fillId="0" borderId="0" xfId="0" applyFont="1" applyBorder="1"/>
    <xf numFmtId="0" fontId="16" fillId="0" borderId="0" xfId="0" applyFont="1"/>
    <xf numFmtId="0" fontId="1" fillId="2" borderId="4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/>
    <xf numFmtId="0" fontId="1" fillId="5" borderId="2" xfId="0" applyFont="1" applyFill="1" applyBorder="1" applyAlignment="1">
      <alignment horizontal="center"/>
    </xf>
    <xf numFmtId="2" fontId="1" fillId="2" borderId="2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5" fillId="0" borderId="0" xfId="0" applyFont="1"/>
    <xf numFmtId="0" fontId="0" fillId="0" borderId="47" xfId="0" applyBorder="1"/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49" fontId="12" fillId="2" borderId="15" xfId="1" applyNumberFormat="1" applyFont="1" applyFill="1" applyBorder="1" applyAlignment="1" applyProtection="1">
      <alignment horizontal="center" vertical="center"/>
    </xf>
    <xf numFmtId="49" fontId="12" fillId="2" borderId="16" xfId="1" applyNumberFormat="1" applyFont="1" applyFill="1" applyBorder="1" applyAlignment="1" applyProtection="1">
      <alignment horizontal="center" vertical="center"/>
    </xf>
    <xf numFmtId="49" fontId="12" fillId="2" borderId="2" xfId="1" applyNumberFormat="1" applyFont="1" applyFill="1" applyBorder="1" applyAlignment="1" applyProtection="1">
      <alignment horizontal="center" vertical="center"/>
    </xf>
    <xf numFmtId="49" fontId="12" fillId="2" borderId="3" xfId="1" applyNumberFormat="1" applyFont="1" applyFill="1" applyBorder="1" applyAlignment="1" applyProtection="1">
      <alignment horizontal="center" vertical="center"/>
    </xf>
    <xf numFmtId="49" fontId="12" fillId="2" borderId="42" xfId="1" applyNumberFormat="1" applyFont="1" applyFill="1" applyBorder="1" applyAlignment="1" applyProtection="1">
      <alignment horizontal="center" vertical="center"/>
    </xf>
    <xf numFmtId="49" fontId="12" fillId="2" borderId="24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49" fontId="13" fillId="3" borderId="44" xfId="1" applyNumberFormat="1" applyFont="1" applyFill="1" applyBorder="1" applyAlignment="1" applyProtection="1">
      <alignment horizontal="center" vertical="center"/>
    </xf>
    <xf numFmtId="49" fontId="12" fillId="2" borderId="21" xfId="1" applyNumberFormat="1" applyFont="1" applyFill="1" applyBorder="1" applyAlignment="1" applyProtection="1">
      <alignment horizontal="center" vertical="center"/>
    </xf>
    <xf numFmtId="49" fontId="12" fillId="2" borderId="53" xfId="1" applyNumberFormat="1" applyFont="1" applyFill="1" applyBorder="1" applyAlignment="1" applyProtection="1">
      <alignment horizontal="center" vertical="center"/>
    </xf>
    <xf numFmtId="49" fontId="13" fillId="3" borderId="45" xfId="1" applyNumberFormat="1" applyFont="1" applyFill="1" applyBorder="1" applyAlignment="1" applyProtection="1">
      <alignment horizontal="center" vertical="center"/>
    </xf>
    <xf numFmtId="49" fontId="12" fillId="2" borderId="23" xfId="1" applyNumberFormat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9" fontId="12" fillId="2" borderId="30" xfId="1" applyNumberFormat="1" applyFont="1" applyFill="1" applyBorder="1" applyAlignment="1" applyProtection="1">
      <alignment horizontal="center" vertical="center"/>
    </xf>
    <xf numFmtId="49" fontId="12" fillId="2" borderId="33" xfId="1" applyNumberFormat="1" applyFont="1" applyFill="1" applyBorder="1" applyAlignment="1" applyProtection="1">
      <alignment horizontal="center" vertical="center"/>
    </xf>
    <xf numFmtId="49" fontId="12" fillId="2" borderId="40" xfId="1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textRotation="90"/>
    </xf>
    <xf numFmtId="0" fontId="14" fillId="2" borderId="10" xfId="0" applyFont="1" applyFill="1" applyBorder="1" applyAlignment="1">
      <alignment horizontal="center" vertical="center" textRotation="90"/>
    </xf>
    <xf numFmtId="0" fontId="14" fillId="2" borderId="27" xfId="0" applyFont="1" applyFill="1" applyBorder="1" applyAlignment="1">
      <alignment horizontal="center" vertical="center" textRotation="90"/>
    </xf>
    <xf numFmtId="0" fontId="14" fillId="2" borderId="25" xfId="0" applyFont="1" applyFill="1" applyBorder="1" applyAlignment="1">
      <alignment horizontal="center" vertical="center" textRotation="90"/>
    </xf>
    <xf numFmtId="0" fontId="14" fillId="2" borderId="26" xfId="0" applyFont="1" applyFill="1" applyBorder="1" applyAlignment="1">
      <alignment horizontal="center" vertical="center" textRotation="90"/>
    </xf>
    <xf numFmtId="0" fontId="14" fillId="2" borderId="11" xfId="0" applyFont="1" applyFill="1" applyBorder="1" applyAlignment="1">
      <alignment horizontal="center" vertical="center" textRotation="90"/>
    </xf>
    <xf numFmtId="0" fontId="14" fillId="2" borderId="13" xfId="0" applyFont="1" applyFill="1" applyBorder="1" applyAlignment="1">
      <alignment horizontal="center" vertical="center" textRotation="90"/>
    </xf>
    <xf numFmtId="0" fontId="7" fillId="2" borderId="5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" fillId="2" borderId="4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 textRotation="90"/>
    </xf>
    <xf numFmtId="0" fontId="2" fillId="2" borderId="35" xfId="0" applyFont="1" applyFill="1" applyBorder="1" applyAlignment="1">
      <alignment horizontal="center" vertical="center" textRotation="90"/>
    </xf>
    <xf numFmtId="0" fontId="2" fillId="2" borderId="36" xfId="0" applyFont="1" applyFill="1" applyBorder="1" applyAlignment="1">
      <alignment horizontal="center" vertical="center" textRotation="90"/>
    </xf>
    <xf numFmtId="0" fontId="3" fillId="0" borderId="0" xfId="0" applyFont="1"/>
    <xf numFmtId="0" fontId="10" fillId="5" borderId="25" xfId="0" applyFont="1" applyFill="1" applyBorder="1" applyAlignment="1">
      <alignment vertical="center" textRotation="90"/>
    </xf>
    <xf numFmtId="0" fontId="10" fillId="5" borderId="26" xfId="0" applyFont="1" applyFill="1" applyBorder="1" applyAlignment="1">
      <alignment vertical="center" textRotation="90"/>
    </xf>
    <xf numFmtId="0" fontId="10" fillId="5" borderId="27" xfId="0" applyFont="1" applyFill="1" applyBorder="1" applyAlignment="1">
      <alignment vertical="center" textRotation="90"/>
    </xf>
    <xf numFmtId="0" fontId="2" fillId="2" borderId="37" xfId="0" applyFont="1" applyFill="1" applyBorder="1" applyAlignment="1">
      <alignment vertical="center" textRotation="90"/>
    </xf>
    <xf numFmtId="0" fontId="2" fillId="2" borderId="38" xfId="0" applyFont="1" applyFill="1" applyBorder="1" applyAlignment="1">
      <alignment vertical="center" textRotation="90"/>
    </xf>
    <xf numFmtId="0" fontId="2" fillId="2" borderId="39" xfId="0" applyFont="1" applyFill="1" applyBorder="1" applyAlignment="1">
      <alignment vertical="center" textRotation="90"/>
    </xf>
    <xf numFmtId="0" fontId="2" fillId="2" borderId="3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20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/>
    </xf>
    <xf numFmtId="0" fontId="1" fillId="0" borderId="54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90"/>
    </xf>
    <xf numFmtId="0" fontId="2" fillId="0" borderId="35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402431</xdr:colOff>
      <xdr:row>11</xdr:row>
      <xdr:rowOff>35719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082212" cy="2333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opLeftCell="B1" zoomScale="90" zoomScaleNormal="90" workbookViewId="0">
      <selection activeCell="N7" sqref="N7:O7"/>
    </sheetView>
  </sheetViews>
  <sheetFormatPr defaultRowHeight="15" x14ac:dyDescent="0.25"/>
  <cols>
    <col min="1" max="1" width="5.140625" style="19" customWidth="1"/>
    <col min="2" max="2" width="6.85546875" style="19" customWidth="1"/>
    <col min="3" max="3" width="11.42578125" style="19" customWidth="1"/>
    <col min="4" max="4" width="11" style="19" customWidth="1"/>
    <col min="5" max="5" width="10.5703125" style="19" customWidth="1"/>
    <col min="6" max="7" width="12.7109375" style="19" customWidth="1"/>
    <col min="8" max="8" width="12.85546875" style="19" customWidth="1"/>
    <col min="9" max="9" width="9.85546875" style="19" customWidth="1"/>
    <col min="10" max="10" width="14.140625" style="19" customWidth="1"/>
    <col min="11" max="12" width="9.140625" style="19"/>
    <col min="13" max="13" width="12.140625" style="19" customWidth="1"/>
    <col min="14" max="14" width="13.85546875" style="19" customWidth="1"/>
    <col min="15" max="15" width="12" style="19" customWidth="1"/>
    <col min="16" max="16384" width="9.140625" style="19"/>
  </cols>
  <sheetData>
    <row r="1" spans="2:15" ht="15.75" thickBot="1" x14ac:dyDescent="0.3"/>
    <row r="2" spans="2:15" ht="15.75" thickBot="1" x14ac:dyDescent="0.3">
      <c r="B2" s="26" t="s">
        <v>91</v>
      </c>
      <c r="C2" s="27" t="s">
        <v>60</v>
      </c>
      <c r="D2" s="113" t="s">
        <v>97</v>
      </c>
      <c r="E2" s="113"/>
      <c r="F2" s="113" t="s">
        <v>98</v>
      </c>
      <c r="G2" s="113"/>
      <c r="H2" s="113" t="s">
        <v>99</v>
      </c>
      <c r="I2" s="113"/>
      <c r="J2" s="113" t="s">
        <v>100</v>
      </c>
      <c r="K2" s="113"/>
      <c r="L2" s="113" t="s">
        <v>101</v>
      </c>
      <c r="M2" s="113"/>
      <c r="N2" s="113" t="s">
        <v>102</v>
      </c>
      <c r="O2" s="116"/>
    </row>
    <row r="3" spans="2:15" ht="20.25" customHeight="1" x14ac:dyDescent="0.25">
      <c r="B3" s="127" t="s">
        <v>89</v>
      </c>
      <c r="C3" s="24" t="s">
        <v>87</v>
      </c>
      <c r="D3" s="92" t="s">
        <v>52</v>
      </c>
      <c r="E3" s="93"/>
      <c r="F3" s="92" t="s">
        <v>169</v>
      </c>
      <c r="G3" s="93"/>
      <c r="H3" s="92" t="s">
        <v>103</v>
      </c>
      <c r="I3" s="93"/>
      <c r="J3" s="92" t="s">
        <v>66</v>
      </c>
      <c r="K3" s="93"/>
      <c r="L3" s="92" t="s">
        <v>104</v>
      </c>
      <c r="M3" s="93"/>
      <c r="N3" s="92" t="s">
        <v>95</v>
      </c>
      <c r="O3" s="96"/>
    </row>
    <row r="4" spans="2:15" ht="17.25" customHeight="1" x14ac:dyDescent="0.25">
      <c r="B4" s="128"/>
      <c r="C4" s="15"/>
      <c r="D4" s="94" t="s">
        <v>105</v>
      </c>
      <c r="E4" s="95"/>
      <c r="F4" s="94" t="s">
        <v>106</v>
      </c>
      <c r="G4" s="95"/>
      <c r="H4" s="94" t="s">
        <v>105</v>
      </c>
      <c r="I4" s="95"/>
      <c r="J4" s="94" t="s">
        <v>170</v>
      </c>
      <c r="K4" s="95"/>
      <c r="L4" s="94" t="s">
        <v>105</v>
      </c>
      <c r="M4" s="95"/>
      <c r="N4" s="94" t="s">
        <v>106</v>
      </c>
      <c r="O4" s="97"/>
    </row>
    <row r="5" spans="2:15" ht="18.75" customHeight="1" thickBot="1" x14ac:dyDescent="0.3">
      <c r="B5" s="129"/>
      <c r="C5" s="28" t="s">
        <v>31</v>
      </c>
      <c r="D5" s="119" t="s">
        <v>35</v>
      </c>
      <c r="E5" s="120"/>
      <c r="F5" s="119" t="s">
        <v>36</v>
      </c>
      <c r="G5" s="120"/>
      <c r="H5" s="119" t="s">
        <v>119</v>
      </c>
      <c r="I5" s="120"/>
      <c r="J5" s="119" t="s">
        <v>108</v>
      </c>
      <c r="K5" s="120"/>
      <c r="L5" s="119" t="s">
        <v>35</v>
      </c>
      <c r="M5" s="120"/>
      <c r="N5" s="119" t="s">
        <v>36</v>
      </c>
      <c r="O5" s="121"/>
    </row>
    <row r="6" spans="2:15" ht="27" customHeight="1" x14ac:dyDescent="0.25">
      <c r="B6" s="130" t="s">
        <v>88</v>
      </c>
      <c r="C6" s="25" t="s">
        <v>30</v>
      </c>
      <c r="D6" s="109" t="s">
        <v>171</v>
      </c>
      <c r="E6" s="109"/>
      <c r="F6" s="109" t="s">
        <v>61</v>
      </c>
      <c r="G6" s="109"/>
      <c r="H6" s="126" t="s">
        <v>109</v>
      </c>
      <c r="I6" s="126"/>
      <c r="J6" s="109" t="s">
        <v>171</v>
      </c>
      <c r="K6" s="109"/>
      <c r="L6" s="126" t="s">
        <v>172</v>
      </c>
      <c r="M6" s="126"/>
      <c r="N6" s="109" t="s">
        <v>61</v>
      </c>
      <c r="O6" s="109"/>
    </row>
    <row r="7" spans="2:15" ht="18.75" customHeight="1" x14ac:dyDescent="0.25">
      <c r="B7" s="131"/>
      <c r="C7" s="15" t="s">
        <v>32</v>
      </c>
      <c r="D7" s="98" t="s">
        <v>65</v>
      </c>
      <c r="E7" s="98"/>
      <c r="F7" s="98" t="s">
        <v>120</v>
      </c>
      <c r="G7" s="98"/>
      <c r="H7" s="98" t="s">
        <v>62</v>
      </c>
      <c r="I7" s="98"/>
      <c r="J7" s="98" t="s">
        <v>204</v>
      </c>
      <c r="K7" s="98"/>
      <c r="L7" s="100" t="s">
        <v>110</v>
      </c>
      <c r="M7" s="100"/>
      <c r="N7" s="98" t="s">
        <v>112</v>
      </c>
      <c r="O7" s="99"/>
    </row>
    <row r="8" spans="2:15" ht="24.75" customHeight="1" x14ac:dyDescent="0.25">
      <c r="B8" s="131"/>
      <c r="C8" s="15" t="s">
        <v>33</v>
      </c>
      <c r="D8" s="98"/>
      <c r="E8" s="98"/>
      <c r="F8" s="98" t="s">
        <v>37</v>
      </c>
      <c r="G8" s="98"/>
      <c r="H8" s="100"/>
      <c r="I8" s="100"/>
      <c r="J8" s="122"/>
      <c r="K8" s="100"/>
      <c r="L8" s="100" t="s">
        <v>48</v>
      </c>
      <c r="M8" s="123"/>
      <c r="N8" s="100" t="s">
        <v>52</v>
      </c>
      <c r="O8" s="101"/>
    </row>
    <row r="9" spans="2:15" ht="23.25" customHeight="1" x14ac:dyDescent="0.25">
      <c r="B9" s="131"/>
      <c r="C9" s="15" t="s">
        <v>34</v>
      </c>
      <c r="D9" s="105"/>
      <c r="E9" s="105"/>
      <c r="F9" s="98"/>
      <c r="G9" s="98"/>
      <c r="H9" s="98"/>
      <c r="I9" s="98"/>
      <c r="J9" s="98"/>
      <c r="K9" s="98"/>
      <c r="L9" s="124"/>
      <c r="M9" s="124"/>
      <c r="N9" s="124"/>
      <c r="O9" s="125"/>
    </row>
    <row r="10" spans="2:15" ht="17.25" customHeight="1" x14ac:dyDescent="0.25">
      <c r="B10" s="131"/>
      <c r="C10" s="15" t="s">
        <v>63</v>
      </c>
      <c r="D10" s="98"/>
      <c r="E10" s="98"/>
      <c r="F10" s="98" t="s">
        <v>115</v>
      </c>
      <c r="G10" s="98"/>
      <c r="H10" s="124" t="s">
        <v>173</v>
      </c>
      <c r="I10" s="124"/>
      <c r="J10" s="105" t="s">
        <v>225</v>
      </c>
      <c r="K10" s="105"/>
      <c r="L10" s="100" t="s">
        <v>53</v>
      </c>
      <c r="M10" s="100"/>
      <c r="N10" s="98" t="s">
        <v>174</v>
      </c>
      <c r="O10" s="99"/>
    </row>
    <row r="11" spans="2:15" ht="19.5" customHeight="1" x14ac:dyDescent="0.25">
      <c r="B11" s="131"/>
      <c r="C11" s="15" t="s">
        <v>64</v>
      </c>
      <c r="D11" s="98" t="s">
        <v>116</v>
      </c>
      <c r="E11" s="98"/>
      <c r="F11" s="98"/>
      <c r="G11" s="98"/>
      <c r="H11" s="98"/>
      <c r="I11" s="98"/>
      <c r="J11" s="98"/>
      <c r="K11" s="98"/>
      <c r="L11" s="105"/>
      <c r="M11" s="105"/>
      <c r="N11" s="98"/>
      <c r="O11" s="99"/>
    </row>
    <row r="12" spans="2:15" ht="18" customHeight="1" x14ac:dyDescent="0.25">
      <c r="B12" s="131"/>
      <c r="C12" s="15" t="s">
        <v>31</v>
      </c>
      <c r="D12" s="98" t="s">
        <v>205</v>
      </c>
      <c r="E12" s="98"/>
      <c r="F12" s="98" t="s">
        <v>35</v>
      </c>
      <c r="G12" s="98"/>
      <c r="H12" s="98" t="s">
        <v>38</v>
      </c>
      <c r="I12" s="98"/>
      <c r="J12" s="98" t="s">
        <v>205</v>
      </c>
      <c r="K12" s="98"/>
      <c r="L12" s="98" t="s">
        <v>49</v>
      </c>
      <c r="M12" s="98"/>
      <c r="N12" s="103" t="s">
        <v>36</v>
      </c>
      <c r="O12" s="99"/>
    </row>
    <row r="13" spans="2:15" ht="16.5" customHeight="1" thickBot="1" x14ac:dyDescent="0.3">
      <c r="B13" s="129"/>
      <c r="C13" s="16" t="s">
        <v>117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</row>
    <row r="14" spans="2:15" ht="15" customHeight="1" thickBot="1" x14ac:dyDescent="0.3">
      <c r="B14" s="26" t="s">
        <v>90</v>
      </c>
      <c r="C14" s="27" t="s">
        <v>60</v>
      </c>
      <c r="D14" s="113" t="s">
        <v>97</v>
      </c>
      <c r="E14" s="113"/>
      <c r="F14" s="113" t="s">
        <v>98</v>
      </c>
      <c r="G14" s="113"/>
      <c r="H14" s="113" t="s">
        <v>99</v>
      </c>
      <c r="I14" s="113"/>
      <c r="J14" s="113" t="s">
        <v>100</v>
      </c>
      <c r="K14" s="113"/>
      <c r="L14" s="113" t="s">
        <v>101</v>
      </c>
      <c r="M14" s="113"/>
      <c r="N14" s="113" t="s">
        <v>102</v>
      </c>
      <c r="O14" s="116"/>
    </row>
    <row r="15" spans="2:15" ht="18.75" customHeight="1" x14ac:dyDescent="0.25">
      <c r="B15" s="132" t="s">
        <v>89</v>
      </c>
      <c r="C15" s="25" t="s">
        <v>87</v>
      </c>
      <c r="D15" s="114" t="s">
        <v>92</v>
      </c>
      <c r="E15" s="115"/>
      <c r="F15" s="114" t="s">
        <v>94</v>
      </c>
      <c r="G15" s="115"/>
      <c r="H15" s="114" t="s">
        <v>52</v>
      </c>
      <c r="I15" s="115"/>
      <c r="J15" s="92" t="s">
        <v>175</v>
      </c>
      <c r="K15" s="93"/>
      <c r="L15" s="114" t="s">
        <v>93</v>
      </c>
      <c r="M15" s="115"/>
      <c r="N15" s="114" t="s">
        <v>118</v>
      </c>
      <c r="O15" s="117"/>
    </row>
    <row r="16" spans="2:15" ht="18" customHeight="1" x14ac:dyDescent="0.25">
      <c r="B16" s="128"/>
      <c r="C16" s="15"/>
      <c r="D16" s="94" t="s">
        <v>105</v>
      </c>
      <c r="E16" s="95"/>
      <c r="F16" s="94" t="s">
        <v>106</v>
      </c>
      <c r="G16" s="95"/>
      <c r="H16" s="94" t="s">
        <v>105</v>
      </c>
      <c r="I16" s="95"/>
      <c r="J16" s="94" t="s">
        <v>106</v>
      </c>
      <c r="K16" s="95"/>
      <c r="L16" s="94" t="s">
        <v>107</v>
      </c>
      <c r="M16" s="95"/>
      <c r="N16" s="94" t="s">
        <v>105</v>
      </c>
      <c r="O16" s="97"/>
    </row>
    <row r="17" spans="2:15" ht="20.25" customHeight="1" thickBot="1" x14ac:dyDescent="0.3">
      <c r="B17" s="133"/>
      <c r="C17" s="28" t="s">
        <v>31</v>
      </c>
      <c r="D17" s="118" t="s">
        <v>36</v>
      </c>
      <c r="E17" s="118"/>
      <c r="F17" s="119" t="s">
        <v>35</v>
      </c>
      <c r="G17" s="120"/>
      <c r="H17" s="118" t="s">
        <v>36</v>
      </c>
      <c r="I17" s="118"/>
      <c r="J17" s="119" t="s">
        <v>35</v>
      </c>
      <c r="K17" s="120"/>
      <c r="L17" s="119" t="s">
        <v>36</v>
      </c>
      <c r="M17" s="120"/>
      <c r="N17" s="119" t="s">
        <v>35</v>
      </c>
      <c r="O17" s="121"/>
    </row>
    <row r="18" spans="2:15" ht="27" customHeight="1" x14ac:dyDescent="0.25">
      <c r="B18" s="132" t="s">
        <v>88</v>
      </c>
      <c r="C18" s="25" t="s">
        <v>30</v>
      </c>
      <c r="D18" s="109" t="s">
        <v>176</v>
      </c>
      <c r="E18" s="109"/>
      <c r="F18" s="134" t="s">
        <v>177</v>
      </c>
      <c r="G18" s="126"/>
      <c r="H18" s="109" t="s">
        <v>178</v>
      </c>
      <c r="I18" s="109"/>
      <c r="J18" s="126" t="s">
        <v>179</v>
      </c>
      <c r="K18" s="126"/>
      <c r="L18" s="126" t="s">
        <v>109</v>
      </c>
      <c r="M18" s="126"/>
      <c r="N18" s="109" t="s">
        <v>171</v>
      </c>
      <c r="O18" s="110"/>
    </row>
    <row r="19" spans="2:15" ht="21" customHeight="1" x14ac:dyDescent="0.25">
      <c r="B19" s="128"/>
      <c r="C19" s="15" t="s">
        <v>32</v>
      </c>
      <c r="D19" s="98" t="s">
        <v>180</v>
      </c>
      <c r="E19" s="98"/>
      <c r="F19" s="98" t="s">
        <v>111</v>
      </c>
      <c r="G19" s="98"/>
      <c r="H19" s="98" t="s">
        <v>110</v>
      </c>
      <c r="I19" s="98"/>
      <c r="J19" s="100" t="s">
        <v>121</v>
      </c>
      <c r="K19" s="100"/>
      <c r="L19" s="100" t="s">
        <v>65</v>
      </c>
      <c r="M19" s="100"/>
      <c r="N19" s="100" t="s">
        <v>236</v>
      </c>
      <c r="O19" s="101"/>
    </row>
    <row r="20" spans="2:15" ht="24.75" customHeight="1" x14ac:dyDescent="0.25">
      <c r="B20" s="128"/>
      <c r="C20" s="15" t="s">
        <v>33</v>
      </c>
      <c r="D20" s="98"/>
      <c r="E20" s="98"/>
      <c r="F20" s="98" t="s">
        <v>37</v>
      </c>
      <c r="G20" s="98"/>
      <c r="H20" s="98" t="s">
        <v>113</v>
      </c>
      <c r="I20" s="98"/>
      <c r="J20" s="98" t="s">
        <v>39</v>
      </c>
      <c r="K20" s="98"/>
      <c r="L20" s="98" t="s">
        <v>122</v>
      </c>
      <c r="M20" s="98"/>
      <c r="N20" s="98" t="s">
        <v>240</v>
      </c>
      <c r="O20" s="99"/>
    </row>
    <row r="21" spans="2:15" ht="25.5" customHeight="1" x14ac:dyDescent="0.25">
      <c r="B21" s="128"/>
      <c r="C21" s="15" t="s">
        <v>63</v>
      </c>
      <c r="D21" s="105" t="s">
        <v>225</v>
      </c>
      <c r="E21" s="105"/>
      <c r="F21" s="106"/>
      <c r="G21" s="106"/>
      <c r="H21" s="98"/>
      <c r="I21" s="98"/>
      <c r="J21" s="98" t="s">
        <v>123</v>
      </c>
      <c r="K21" s="98"/>
      <c r="L21" s="100" t="s">
        <v>114</v>
      </c>
      <c r="M21" s="100"/>
      <c r="N21" s="98" t="s">
        <v>237</v>
      </c>
      <c r="O21" s="99"/>
    </row>
    <row r="22" spans="2:15" ht="27" customHeight="1" x14ac:dyDescent="0.25">
      <c r="B22" s="128"/>
      <c r="C22" s="15" t="s">
        <v>34</v>
      </c>
      <c r="D22" s="102"/>
      <c r="E22" s="103"/>
      <c r="F22" s="107" t="s">
        <v>181</v>
      </c>
      <c r="G22" s="108"/>
      <c r="H22" s="102"/>
      <c r="I22" s="103"/>
      <c r="J22" s="102"/>
      <c r="K22" s="103"/>
      <c r="L22" s="102"/>
      <c r="M22" s="103"/>
      <c r="N22" s="102"/>
      <c r="O22" s="104"/>
    </row>
    <row r="23" spans="2:15" ht="19.5" customHeight="1" x14ac:dyDescent="0.25">
      <c r="B23" s="128"/>
      <c r="C23" s="15" t="s">
        <v>64</v>
      </c>
      <c r="D23" s="105"/>
      <c r="E23" s="105"/>
      <c r="F23" s="98"/>
      <c r="G23" s="98"/>
      <c r="H23" s="105" t="s">
        <v>206</v>
      </c>
      <c r="I23" s="105"/>
      <c r="J23" s="106"/>
      <c r="K23" s="106"/>
      <c r="L23" s="105"/>
      <c r="M23" s="105"/>
      <c r="N23" s="98"/>
      <c r="O23" s="99"/>
    </row>
    <row r="24" spans="2:15" ht="20.25" customHeight="1" x14ac:dyDescent="0.25">
      <c r="B24" s="128"/>
      <c r="C24" s="15" t="s">
        <v>31</v>
      </c>
      <c r="D24" s="98" t="s">
        <v>49</v>
      </c>
      <c r="E24" s="98"/>
      <c r="F24" s="98" t="s">
        <v>36</v>
      </c>
      <c r="G24" s="98"/>
      <c r="H24" s="98" t="s">
        <v>233</v>
      </c>
      <c r="I24" s="98"/>
      <c r="J24" s="98" t="s">
        <v>38</v>
      </c>
      <c r="K24" s="98"/>
      <c r="L24" s="98" t="s">
        <v>205</v>
      </c>
      <c r="M24" s="98"/>
      <c r="N24" s="100" t="s">
        <v>36</v>
      </c>
      <c r="O24" s="101"/>
    </row>
    <row r="25" spans="2:15" ht="16.5" customHeight="1" thickBot="1" x14ac:dyDescent="0.3">
      <c r="B25" s="133"/>
      <c r="C25" s="16" t="s">
        <v>117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2"/>
    </row>
    <row r="26" spans="2:15" ht="31.5" customHeight="1" x14ac:dyDescent="0.25"/>
    <row r="27" spans="2:15" x14ac:dyDescent="0.25">
      <c r="G27" s="19" t="s">
        <v>27</v>
      </c>
      <c r="J27" s="19" t="s">
        <v>27</v>
      </c>
    </row>
    <row r="30" spans="2:15" x14ac:dyDescent="0.25">
      <c r="C30" s="19" t="s">
        <v>27</v>
      </c>
    </row>
  </sheetData>
  <mergeCells count="148">
    <mergeCell ref="N23:O23"/>
    <mergeCell ref="D24:E24"/>
    <mergeCell ref="F24:G24"/>
    <mergeCell ref="H24:I24"/>
    <mergeCell ref="J24:K24"/>
    <mergeCell ref="L24:M24"/>
    <mergeCell ref="N24:O24"/>
    <mergeCell ref="D25:E25"/>
    <mergeCell ref="F25:G25"/>
    <mergeCell ref="H25:I25"/>
    <mergeCell ref="J25:K25"/>
    <mergeCell ref="L25:M25"/>
    <mergeCell ref="N25:O25"/>
    <mergeCell ref="B3:B5"/>
    <mergeCell ref="B6:B13"/>
    <mergeCell ref="B15:B17"/>
    <mergeCell ref="B18:B25"/>
    <mergeCell ref="D23:E23"/>
    <mergeCell ref="F23:G23"/>
    <mergeCell ref="H23:I23"/>
    <mergeCell ref="J23:K23"/>
    <mergeCell ref="L23:M23"/>
    <mergeCell ref="L7:M7"/>
    <mergeCell ref="D10:E10"/>
    <mergeCell ref="F10:G10"/>
    <mergeCell ref="H10:I10"/>
    <mergeCell ref="J10:K10"/>
    <mergeCell ref="L10:M10"/>
    <mergeCell ref="D18:E18"/>
    <mergeCell ref="F18:G18"/>
    <mergeCell ref="H18:I18"/>
    <mergeCell ref="J18:K18"/>
    <mergeCell ref="L18:M18"/>
    <mergeCell ref="J21:K21"/>
    <mergeCell ref="L21:M21"/>
    <mergeCell ref="D3:E3"/>
    <mergeCell ref="D4:E4"/>
    <mergeCell ref="D2:E2"/>
    <mergeCell ref="F2:G2"/>
    <mergeCell ref="H2:I2"/>
    <mergeCell ref="J2:K2"/>
    <mergeCell ref="L2:M2"/>
    <mergeCell ref="N2:O2"/>
    <mergeCell ref="D11:E11"/>
    <mergeCell ref="F11:G11"/>
    <mergeCell ref="H11:I11"/>
    <mergeCell ref="J11:K11"/>
    <mergeCell ref="L11:M11"/>
    <mergeCell ref="D5:E5"/>
    <mergeCell ref="F5:G5"/>
    <mergeCell ref="H5:I5"/>
    <mergeCell ref="J5:K5"/>
    <mergeCell ref="L5:M5"/>
    <mergeCell ref="N5:O5"/>
    <mergeCell ref="D6:E6"/>
    <mergeCell ref="F6:G6"/>
    <mergeCell ref="H6:I6"/>
    <mergeCell ref="J6:K6"/>
    <mergeCell ref="L6:M6"/>
    <mergeCell ref="N6:O6"/>
    <mergeCell ref="J7:K7"/>
    <mergeCell ref="N7:O7"/>
    <mergeCell ref="D8:E8"/>
    <mergeCell ref="F8:G8"/>
    <mergeCell ref="H8:I8"/>
    <mergeCell ref="J8:K8"/>
    <mergeCell ref="L8:M8"/>
    <mergeCell ref="N8:O8"/>
    <mergeCell ref="J9:K9"/>
    <mergeCell ref="L9:M9"/>
    <mergeCell ref="N9:O9"/>
    <mergeCell ref="D9:E9"/>
    <mergeCell ref="F9:G9"/>
    <mergeCell ref="H9:I9"/>
    <mergeCell ref="D7:E7"/>
    <mergeCell ref="F7:G7"/>
    <mergeCell ref="H7:I7"/>
    <mergeCell ref="N10:O10"/>
    <mergeCell ref="L16:M16"/>
    <mergeCell ref="N16:O16"/>
    <mergeCell ref="D17:E17"/>
    <mergeCell ref="F17:G17"/>
    <mergeCell ref="H17:I17"/>
    <mergeCell ref="J17:K17"/>
    <mergeCell ref="L17:M17"/>
    <mergeCell ref="N17:O17"/>
    <mergeCell ref="D15:E15"/>
    <mergeCell ref="F14:G14"/>
    <mergeCell ref="F15:G15"/>
    <mergeCell ref="H14:I14"/>
    <mergeCell ref="H15:I15"/>
    <mergeCell ref="D13:E13"/>
    <mergeCell ref="N18:O18"/>
    <mergeCell ref="N11:O11"/>
    <mergeCell ref="D12:E12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D16:E16"/>
    <mergeCell ref="F16:G16"/>
    <mergeCell ref="H16:I16"/>
    <mergeCell ref="J16:K16"/>
    <mergeCell ref="J14:K14"/>
    <mergeCell ref="J15:K15"/>
    <mergeCell ref="L14:M14"/>
    <mergeCell ref="L15:M15"/>
    <mergeCell ref="N14:O14"/>
    <mergeCell ref="N15:O15"/>
    <mergeCell ref="D14:E14"/>
    <mergeCell ref="N21:O21"/>
    <mergeCell ref="D19:E19"/>
    <mergeCell ref="F19:G19"/>
    <mergeCell ref="H19:I19"/>
    <mergeCell ref="J19:K19"/>
    <mergeCell ref="L19:M19"/>
    <mergeCell ref="N19:O19"/>
    <mergeCell ref="J22:K22"/>
    <mergeCell ref="L22:M22"/>
    <mergeCell ref="N22:O22"/>
    <mergeCell ref="J20:K20"/>
    <mergeCell ref="L20:M20"/>
    <mergeCell ref="N20:O20"/>
    <mergeCell ref="D21:E21"/>
    <mergeCell ref="F21:G21"/>
    <mergeCell ref="D20:E20"/>
    <mergeCell ref="F20:G20"/>
    <mergeCell ref="H20:I20"/>
    <mergeCell ref="D22:E22"/>
    <mergeCell ref="F22:G22"/>
    <mergeCell ref="H22:I22"/>
    <mergeCell ref="H21:I21"/>
    <mergeCell ref="F3:G3"/>
    <mergeCell ref="F4:G4"/>
    <mergeCell ref="H3:I3"/>
    <mergeCell ref="H4:I4"/>
    <mergeCell ref="J3:K3"/>
    <mergeCell ref="J4:K4"/>
    <mergeCell ref="L3:M3"/>
    <mergeCell ref="L4:M4"/>
    <mergeCell ref="N3:O3"/>
    <mergeCell ref="N4:O4"/>
  </mergeCells>
  <hyperlinks>
    <hyperlink ref="D2:E2" location="'день 1 '!A1" display="1 день"/>
    <hyperlink ref="F2:M2" location="'день 1 '!A1" display="1 день"/>
    <hyperlink ref="N2:O2" location="'день 1 '!A1" display="1 день"/>
    <hyperlink ref="D14:E14" location="'день 1 '!A1" display="1 день"/>
    <hyperlink ref="F14:M14" location="'день 1 '!A1" display="1 день"/>
    <hyperlink ref="N14:O14" location="'день 1 '!A1" display="1 день"/>
  </hyperlinks>
  <pageMargins left="0.32291666666666669" right="0.7" top="0.29166666666666669" bottom="0.44791666666666669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91"/>
  <sheetViews>
    <sheetView tabSelected="1" view="pageLayout" zoomScale="80" zoomScaleNormal="90" zoomScalePageLayoutView="80" workbookViewId="0">
      <selection activeCell="D14" sqref="D14:M14"/>
    </sheetView>
  </sheetViews>
  <sheetFormatPr defaultRowHeight="15" x14ac:dyDescent="0.25"/>
  <cols>
    <col min="1" max="1" width="5.7109375" style="13" customWidth="1"/>
    <col min="2" max="2" width="2.7109375" style="13" customWidth="1"/>
    <col min="3" max="3" width="10.5703125" style="12" customWidth="1"/>
    <col min="4" max="4" width="42.710937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5" width="9" style="12" customWidth="1"/>
    <col min="16" max="16" width="7.28515625" style="12" customWidth="1"/>
    <col min="17" max="20" width="9.140625" style="12"/>
    <col min="21" max="21" width="19.710937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1" spans="2:26" s="19" customFormat="1" x14ac:dyDescent="0.25"/>
    <row r="2" spans="2:26" s="13" customFormat="1" ht="12.75" customHeight="1" x14ac:dyDescent="0.25"/>
    <row r="3" spans="2:26" s="13" customFormat="1" ht="19.5" x14ac:dyDescent="0.3">
      <c r="C3" s="152" t="s">
        <v>72</v>
      </c>
      <c r="D3" s="152"/>
      <c r="E3" s="152"/>
      <c r="F3" s="152"/>
      <c r="G3" s="152"/>
      <c r="H3" s="56"/>
      <c r="I3" s="57"/>
      <c r="J3" s="57" t="s">
        <v>73</v>
      </c>
      <c r="K3" s="57"/>
      <c r="L3" s="57"/>
      <c r="M3" s="57"/>
    </row>
    <row r="4" spans="2:26" s="13" customFormat="1" ht="17.25" x14ac:dyDescent="0.3">
      <c r="C4" s="54" t="s">
        <v>74</v>
      </c>
      <c r="D4" s="54"/>
      <c r="E4" s="54"/>
      <c r="F4" s="55"/>
      <c r="G4" s="54"/>
      <c r="H4" s="54"/>
      <c r="I4" s="54"/>
      <c r="J4" s="54" t="s">
        <v>201</v>
      </c>
      <c r="K4" s="54"/>
      <c r="L4" s="54"/>
      <c r="M4" s="54"/>
      <c r="N4" s="54"/>
    </row>
    <row r="5" spans="2:26" s="13" customFormat="1" ht="17.25" x14ac:dyDescent="0.3">
      <c r="C5" s="153" t="s">
        <v>75</v>
      </c>
      <c r="D5" s="153"/>
      <c r="E5" s="153"/>
      <c r="F5" s="153"/>
      <c r="G5" s="54"/>
      <c r="H5" s="54"/>
      <c r="I5" s="54"/>
      <c r="J5" s="54" t="s">
        <v>202</v>
      </c>
      <c r="K5" s="54"/>
      <c r="L5" s="54"/>
      <c r="M5" s="54"/>
      <c r="N5" s="54"/>
    </row>
    <row r="6" spans="2:26" s="19" customFormat="1" ht="17.25" x14ac:dyDescent="0.3"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2:26" s="19" customFormat="1" ht="17.25" x14ac:dyDescent="0.3"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2:26" s="19" customFormat="1" ht="17.25" x14ac:dyDescent="0.3"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2:26" s="19" customFormat="1" ht="17.25" x14ac:dyDescent="0.3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2:26" s="19" customFormat="1" ht="17.25" x14ac:dyDescent="0.3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2:26" s="13" customFormat="1" x14ac:dyDescent="0.25"/>
    <row r="12" spans="2:26" s="13" customFormat="1" ht="20.25" customHeight="1" x14ac:dyDescent="0.25">
      <c r="B12" s="135" t="s">
        <v>163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78"/>
      <c r="P12" s="78"/>
      <c r="Q12" s="78"/>
      <c r="R12" s="78"/>
    </row>
    <row r="13" spans="2:26" s="13" customFormat="1" ht="20.25" customHeight="1" x14ac:dyDescent="0.25">
      <c r="B13" s="135" t="s">
        <v>164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77"/>
      <c r="P13" s="77"/>
      <c r="Q13" s="77"/>
      <c r="R13" s="77"/>
    </row>
    <row r="14" spans="2:26" s="13" customFormat="1" ht="15.75" x14ac:dyDescent="0.25">
      <c r="D14" s="154" t="s">
        <v>168</v>
      </c>
      <c r="E14" s="154"/>
      <c r="F14" s="154"/>
      <c r="G14" s="154"/>
      <c r="H14" s="154"/>
      <c r="I14" s="154"/>
      <c r="J14" s="154"/>
      <c r="K14" s="154"/>
      <c r="L14" s="154"/>
      <c r="M14" s="154"/>
    </row>
    <row r="15" spans="2:26" ht="15.75" x14ac:dyDescent="0.25">
      <c r="C15" s="13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15" customHeight="1" thickBot="1" x14ac:dyDescent="0.3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"/>
      <c r="P16" s="2"/>
      <c r="Q16" s="1"/>
      <c r="R16" s="1"/>
      <c r="S16" s="1"/>
      <c r="T16" s="1"/>
      <c r="U16" s="2"/>
      <c r="V16" s="2"/>
      <c r="W16" s="1"/>
      <c r="X16" s="1"/>
      <c r="Y16" s="1"/>
      <c r="Z16" s="1"/>
    </row>
    <row r="17" spans="2:26" ht="15" customHeight="1" x14ac:dyDescent="0.25">
      <c r="B17" s="143" t="s">
        <v>70</v>
      </c>
      <c r="C17" s="156" t="s">
        <v>0</v>
      </c>
      <c r="D17" s="159" t="s">
        <v>1</v>
      </c>
      <c r="E17" s="162" t="s">
        <v>6</v>
      </c>
      <c r="F17" s="163"/>
      <c r="G17" s="166" t="s">
        <v>7</v>
      </c>
      <c r="H17" s="166"/>
      <c r="I17" s="166"/>
      <c r="J17" s="166"/>
      <c r="K17" s="166"/>
      <c r="L17" s="166"/>
      <c r="M17" s="167" t="s">
        <v>5</v>
      </c>
      <c r="N17" s="168"/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144"/>
      <c r="C18" s="157"/>
      <c r="D18" s="160"/>
      <c r="E18" s="164"/>
      <c r="F18" s="165"/>
      <c r="G18" s="171" t="s">
        <v>3</v>
      </c>
      <c r="H18" s="171"/>
      <c r="I18" s="169" t="s">
        <v>2</v>
      </c>
      <c r="J18" s="169"/>
      <c r="K18" s="171" t="s">
        <v>4</v>
      </c>
      <c r="L18" s="171"/>
      <c r="M18" s="169"/>
      <c r="N18" s="170"/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ht="27.75" customHeight="1" thickBot="1" x14ac:dyDescent="0.3">
      <c r="B19" s="145"/>
      <c r="C19" s="158"/>
      <c r="D19" s="161"/>
      <c r="E19" s="36" t="s">
        <v>15</v>
      </c>
      <c r="F19" s="37" t="s">
        <v>76</v>
      </c>
      <c r="G19" s="36" t="s">
        <v>15</v>
      </c>
      <c r="H19" s="37" t="s">
        <v>76</v>
      </c>
      <c r="I19" s="36" t="s">
        <v>15</v>
      </c>
      <c r="J19" s="37" t="s">
        <v>76</v>
      </c>
      <c r="K19" s="36" t="s">
        <v>15</v>
      </c>
      <c r="L19" s="37" t="s">
        <v>76</v>
      </c>
      <c r="M19" s="36" t="s">
        <v>15</v>
      </c>
      <c r="N19" s="38" t="s">
        <v>76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146" t="s">
        <v>68</v>
      </c>
      <c r="C20" s="149" t="s">
        <v>8</v>
      </c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1"/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147"/>
      <c r="C21" s="29" t="s">
        <v>126</v>
      </c>
      <c r="D21" s="8" t="s">
        <v>96</v>
      </c>
      <c r="E21" s="62">
        <v>150</v>
      </c>
      <c r="F21" s="39">
        <v>200</v>
      </c>
      <c r="G21" s="30">
        <f>E21*4.35/100</f>
        <v>6.5250000000000004</v>
      </c>
      <c r="H21" s="42">
        <f>F21*4.35/100</f>
        <v>8.6999999999999993</v>
      </c>
      <c r="I21" s="30">
        <f>E21*3.74/100</f>
        <v>5.61</v>
      </c>
      <c r="J21" s="42">
        <f>F21*3.74/100</f>
        <v>7.48</v>
      </c>
      <c r="K21" s="62">
        <f>E21*15.7/100</f>
        <v>23.55</v>
      </c>
      <c r="L21" s="40">
        <f>F21*15.7/100</f>
        <v>31.4</v>
      </c>
      <c r="M21" s="62">
        <f t="shared" ref="M21:N23" si="0">G21*4+I21*9+K21*4</f>
        <v>170.79000000000002</v>
      </c>
      <c r="N21" s="44">
        <f t="shared" si="0"/>
        <v>227.72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147"/>
      <c r="C22" s="29" t="s">
        <v>208</v>
      </c>
      <c r="D22" s="6" t="s">
        <v>209</v>
      </c>
      <c r="E22" s="90">
        <v>30</v>
      </c>
      <c r="F22" s="91">
        <v>40</v>
      </c>
      <c r="G22" s="30">
        <f>E22*7.6/100</f>
        <v>2.2799999999999998</v>
      </c>
      <c r="H22" s="42">
        <f>F22*7.6/100</f>
        <v>3.04</v>
      </c>
      <c r="I22" s="30">
        <f>E22*0.8/100</f>
        <v>0.24</v>
      </c>
      <c r="J22" s="42">
        <f>F22*0.8/100</f>
        <v>0.32</v>
      </c>
      <c r="K22" s="30">
        <f>E22*49.2/100</f>
        <v>14.76</v>
      </c>
      <c r="L22" s="42">
        <f>F22*49.2/100</f>
        <v>19.68</v>
      </c>
      <c r="M22" s="30">
        <f t="shared" si="0"/>
        <v>70.319999999999993</v>
      </c>
      <c r="N22" s="44">
        <f t="shared" si="0"/>
        <v>93.759999999999991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147"/>
      <c r="C23" s="66" t="s">
        <v>213</v>
      </c>
      <c r="D23" s="64" t="s">
        <v>214</v>
      </c>
      <c r="E23" s="84">
        <v>10</v>
      </c>
      <c r="F23" s="65">
        <v>10</v>
      </c>
      <c r="G23" s="30">
        <f>E23*23.2/100</f>
        <v>2.3199999999999998</v>
      </c>
      <c r="H23" s="42">
        <f>F23*23.2/100</f>
        <v>2.3199999999999998</v>
      </c>
      <c r="I23" s="30">
        <f>E23*29.5/100</f>
        <v>2.95</v>
      </c>
      <c r="J23" s="42">
        <f>F23*29.5/100</f>
        <v>2.95</v>
      </c>
      <c r="K23" s="30">
        <f>E23*0/100</f>
        <v>0</v>
      </c>
      <c r="L23" s="42">
        <f>F23*0/100</f>
        <v>0</v>
      </c>
      <c r="M23" s="30">
        <f t="shared" si="0"/>
        <v>35.83</v>
      </c>
      <c r="N23" s="44">
        <f t="shared" si="0"/>
        <v>35.83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25">
      <c r="B24" s="147"/>
      <c r="C24" s="29" t="s">
        <v>78</v>
      </c>
      <c r="D24" s="6" t="s">
        <v>11</v>
      </c>
      <c r="E24" s="84">
        <v>200</v>
      </c>
      <c r="F24" s="40">
        <v>200</v>
      </c>
      <c r="G24" s="30">
        <f>E24*0.3/200</f>
        <v>0.3</v>
      </c>
      <c r="H24" s="42">
        <f>F24*0.3/200</f>
        <v>0.3</v>
      </c>
      <c r="I24" s="30">
        <f t="shared" ref="I24:J24" si="1">E24*0.1/200</f>
        <v>0.1</v>
      </c>
      <c r="J24" s="42">
        <f t="shared" si="1"/>
        <v>0.1</v>
      </c>
      <c r="K24" s="30">
        <f>E24*9.5/200</f>
        <v>9.5</v>
      </c>
      <c r="L24" s="42">
        <f>F24*9.5/200</f>
        <v>9.5</v>
      </c>
      <c r="M24" s="30">
        <f t="shared" ref="M24:N25" si="2">G24*4+I24*9+K24*4</f>
        <v>40.1</v>
      </c>
      <c r="N24" s="44">
        <f t="shared" si="2"/>
        <v>40.1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x14ac:dyDescent="0.25">
      <c r="B25" s="147"/>
      <c r="C25" s="35"/>
      <c r="D25" s="4" t="s">
        <v>13</v>
      </c>
      <c r="E25" s="32">
        <f t="shared" ref="E25:L25" si="3">SUM(E21:E24)</f>
        <v>390</v>
      </c>
      <c r="F25" s="41">
        <f>SUM(F21:F24)</f>
        <v>450</v>
      </c>
      <c r="G25" s="7">
        <f t="shared" si="3"/>
        <v>11.425000000000001</v>
      </c>
      <c r="H25" s="43">
        <f t="shared" si="3"/>
        <v>14.36</v>
      </c>
      <c r="I25" s="7">
        <f t="shared" si="3"/>
        <v>8.9</v>
      </c>
      <c r="J25" s="43">
        <f t="shared" si="3"/>
        <v>10.85</v>
      </c>
      <c r="K25" s="7">
        <f t="shared" si="3"/>
        <v>47.81</v>
      </c>
      <c r="L25" s="43">
        <f t="shared" si="3"/>
        <v>60.58</v>
      </c>
      <c r="M25" s="7">
        <f t="shared" si="2"/>
        <v>317.04000000000002</v>
      </c>
      <c r="N25" s="45">
        <f t="shared" si="2"/>
        <v>397.40999999999997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x14ac:dyDescent="0.25">
      <c r="B26" s="147"/>
      <c r="C26" s="136" t="s">
        <v>9</v>
      </c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8"/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x14ac:dyDescent="0.25">
      <c r="B27" s="147"/>
      <c r="C27" s="23" t="s">
        <v>182</v>
      </c>
      <c r="D27" s="9" t="s">
        <v>183</v>
      </c>
      <c r="E27" s="80">
        <v>100</v>
      </c>
      <c r="F27" s="52">
        <v>100</v>
      </c>
      <c r="G27" s="31">
        <f>E27*1/100</f>
        <v>1</v>
      </c>
      <c r="H27" s="53">
        <f>F27*1/100</f>
        <v>1</v>
      </c>
      <c r="I27" s="31">
        <f>E27*6/100</f>
        <v>6</v>
      </c>
      <c r="J27" s="53">
        <f>F27*6/100</f>
        <v>6</v>
      </c>
      <c r="K27" s="31">
        <f>E27*3.1/100</f>
        <v>3.1</v>
      </c>
      <c r="L27" s="53">
        <f>F27*3.1/100</f>
        <v>3.1</v>
      </c>
      <c r="M27" s="31">
        <f t="shared" ref="M27:N27" si="4">G27*4+I27*9+K27*4</f>
        <v>70.400000000000006</v>
      </c>
      <c r="N27" s="50">
        <f t="shared" si="4"/>
        <v>70.400000000000006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x14ac:dyDescent="0.25">
      <c r="B28" s="147"/>
      <c r="C28" s="23" t="s">
        <v>23</v>
      </c>
      <c r="D28" s="9" t="s">
        <v>28</v>
      </c>
      <c r="E28" s="61">
        <v>200</v>
      </c>
      <c r="F28" s="52">
        <v>250</v>
      </c>
      <c r="G28" s="31">
        <v>1.73</v>
      </c>
      <c r="H28" s="53">
        <v>2.13</v>
      </c>
      <c r="I28" s="31">
        <v>4.91</v>
      </c>
      <c r="J28" s="53">
        <v>5.95</v>
      </c>
      <c r="K28" s="31">
        <v>10.66</v>
      </c>
      <c r="L28" s="53">
        <v>13.28</v>
      </c>
      <c r="M28" s="31">
        <f t="shared" ref="M28:N32" si="5">G28*4+I28*9+K28*4</f>
        <v>93.75</v>
      </c>
      <c r="N28" s="50">
        <f t="shared" si="5"/>
        <v>115.19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25">
      <c r="B29" s="147"/>
      <c r="C29" s="29" t="s">
        <v>124</v>
      </c>
      <c r="D29" s="6" t="s">
        <v>125</v>
      </c>
      <c r="E29" s="62">
        <v>230</v>
      </c>
      <c r="F29" s="40">
        <v>250</v>
      </c>
      <c r="G29" s="30">
        <f>E29*8.1/100</f>
        <v>18.63</v>
      </c>
      <c r="H29" s="42">
        <f>F29*8.1/100</f>
        <v>20.25</v>
      </c>
      <c r="I29" s="62">
        <f>E29*7.9/100</f>
        <v>18.170000000000002</v>
      </c>
      <c r="J29" s="40">
        <f>F29*7.9/100</f>
        <v>19.75</v>
      </c>
      <c r="K29" s="30">
        <f>E29*18.1/100</f>
        <v>41.63</v>
      </c>
      <c r="L29" s="42">
        <f>F29*18.1/100</f>
        <v>45.25</v>
      </c>
      <c r="M29" s="30">
        <f t="shared" si="5"/>
        <v>404.57000000000005</v>
      </c>
      <c r="N29" s="44">
        <f t="shared" si="5"/>
        <v>439.75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x14ac:dyDescent="0.25">
      <c r="B30" s="147"/>
      <c r="C30" s="29" t="s">
        <v>211</v>
      </c>
      <c r="D30" s="6" t="s">
        <v>212</v>
      </c>
      <c r="E30" s="84">
        <v>200</v>
      </c>
      <c r="F30" s="40">
        <v>200</v>
      </c>
      <c r="G30" s="30">
        <f>E30*0.15/100</f>
        <v>0.3</v>
      </c>
      <c r="H30" s="42">
        <f>F30*0.15/100</f>
        <v>0.3</v>
      </c>
      <c r="I30" s="30">
        <f>E30*0.005/100</f>
        <v>0.01</v>
      </c>
      <c r="J30" s="42">
        <f>F30*0.005/100</f>
        <v>0.01</v>
      </c>
      <c r="K30" s="30">
        <f>E30*8.75/100</f>
        <v>17.5</v>
      </c>
      <c r="L30" s="42">
        <f>F30*8.75/100</f>
        <v>17.5</v>
      </c>
      <c r="M30" s="30">
        <f t="shared" si="5"/>
        <v>71.290000000000006</v>
      </c>
      <c r="N30" s="44">
        <f t="shared" si="5"/>
        <v>71.290000000000006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  <row r="31" spans="2:26" s="19" customFormat="1" x14ac:dyDescent="0.25">
      <c r="B31" s="147"/>
      <c r="C31" s="29" t="s">
        <v>67</v>
      </c>
      <c r="D31" s="6" t="s">
        <v>133</v>
      </c>
      <c r="E31" s="62">
        <v>100</v>
      </c>
      <c r="F31" s="40">
        <v>100</v>
      </c>
      <c r="G31" s="30">
        <v>0.4</v>
      </c>
      <c r="H31" s="42">
        <v>0.4</v>
      </c>
      <c r="I31" s="30">
        <v>0.4</v>
      </c>
      <c r="J31" s="42">
        <v>0.4</v>
      </c>
      <c r="K31" s="30">
        <v>9.8000000000000007</v>
      </c>
      <c r="L31" s="42">
        <v>9.8000000000000007</v>
      </c>
      <c r="M31" s="30">
        <f t="shared" si="5"/>
        <v>44.400000000000006</v>
      </c>
      <c r="N31" s="44">
        <f t="shared" si="5"/>
        <v>44.400000000000006</v>
      </c>
      <c r="O31" s="1"/>
      <c r="P31" s="3"/>
      <c r="Q31" s="5"/>
      <c r="R31" s="5"/>
      <c r="S31" s="5"/>
      <c r="T31" s="5"/>
      <c r="U31" s="1"/>
      <c r="V31" s="3"/>
      <c r="W31" s="5"/>
      <c r="X31" s="5"/>
      <c r="Y31" s="5"/>
      <c r="Z31" s="5"/>
    </row>
    <row r="32" spans="2:26" x14ac:dyDescent="0.25">
      <c r="B32" s="147"/>
      <c r="C32" s="29" t="s">
        <v>210</v>
      </c>
      <c r="D32" s="6" t="s">
        <v>24</v>
      </c>
      <c r="E32" s="90">
        <v>20</v>
      </c>
      <c r="F32" s="91">
        <v>20</v>
      </c>
      <c r="G32" s="30">
        <f>E32*8/100</f>
        <v>1.6</v>
      </c>
      <c r="H32" s="42">
        <f>F32*8/100</f>
        <v>1.6</v>
      </c>
      <c r="I32" s="30">
        <f>E32*1.5/100</f>
        <v>0.3</v>
      </c>
      <c r="J32" s="42">
        <f>F32*1.5/100</f>
        <v>0.3</v>
      </c>
      <c r="K32" s="30">
        <f>E32*40.1/100</f>
        <v>8.02</v>
      </c>
      <c r="L32" s="42">
        <f>F32*40.1/100</f>
        <v>8.02</v>
      </c>
      <c r="M32" s="30">
        <f t="shared" si="5"/>
        <v>41.18</v>
      </c>
      <c r="N32" s="44">
        <f t="shared" si="5"/>
        <v>41.18</v>
      </c>
      <c r="O32" s="1"/>
      <c r="P32" s="3"/>
      <c r="Q32" s="5"/>
      <c r="R32" s="5"/>
      <c r="S32" s="5"/>
      <c r="T32" s="5"/>
      <c r="U32" s="1"/>
      <c r="V32" s="3"/>
      <c r="W32" s="5"/>
      <c r="X32" s="5"/>
      <c r="Y32" s="5"/>
      <c r="Z32" s="5"/>
    </row>
    <row r="33" spans="2:26" x14ac:dyDescent="0.25">
      <c r="B33" s="147"/>
      <c r="C33" s="29" t="s">
        <v>208</v>
      </c>
      <c r="D33" s="6" t="s">
        <v>209</v>
      </c>
      <c r="E33" s="90">
        <v>40</v>
      </c>
      <c r="F33" s="91">
        <v>40</v>
      </c>
      <c r="G33" s="30">
        <f>E33*7.6/100</f>
        <v>3.04</v>
      </c>
      <c r="H33" s="42">
        <f>F33*7.6/100</f>
        <v>3.04</v>
      </c>
      <c r="I33" s="30">
        <f>E33*0.8/100</f>
        <v>0.32</v>
      </c>
      <c r="J33" s="42">
        <f>F33*0.8/100</f>
        <v>0.32</v>
      </c>
      <c r="K33" s="30">
        <f>E33*49.2/100</f>
        <v>19.68</v>
      </c>
      <c r="L33" s="42">
        <f>F33*49.2/100</f>
        <v>19.68</v>
      </c>
      <c r="M33" s="30">
        <f t="shared" ref="M33:N33" si="6">G33*4+I33*9+K33*4</f>
        <v>93.759999999999991</v>
      </c>
      <c r="N33" s="44">
        <f t="shared" si="6"/>
        <v>93.759999999999991</v>
      </c>
      <c r="O33" s="1"/>
      <c r="P33" s="3"/>
      <c r="Q33" s="5"/>
      <c r="R33" s="5"/>
      <c r="S33" s="5"/>
      <c r="T33" s="5"/>
      <c r="U33" s="1"/>
      <c r="V33" s="3"/>
      <c r="W33" s="5"/>
      <c r="X33" s="5"/>
      <c r="Y33" s="5"/>
      <c r="Z33" s="5"/>
    </row>
    <row r="34" spans="2:26" x14ac:dyDescent="0.25">
      <c r="B34" s="147"/>
      <c r="C34" s="29"/>
      <c r="D34" s="4" t="s">
        <v>14</v>
      </c>
      <c r="E34" s="32">
        <f t="shared" ref="E34:N34" si="7">SUM(E27:E33)</f>
        <v>890</v>
      </c>
      <c r="F34" s="47">
        <f t="shared" si="7"/>
        <v>960</v>
      </c>
      <c r="G34" s="7">
        <f t="shared" si="7"/>
        <v>26.7</v>
      </c>
      <c r="H34" s="43">
        <f t="shared" si="7"/>
        <v>28.72</v>
      </c>
      <c r="I34" s="32">
        <f t="shared" si="7"/>
        <v>30.110000000000003</v>
      </c>
      <c r="J34" s="43">
        <f t="shared" si="7"/>
        <v>32.729999999999997</v>
      </c>
      <c r="K34" s="32">
        <f t="shared" si="7"/>
        <v>110.38999999999999</v>
      </c>
      <c r="L34" s="43">
        <f t="shared" si="7"/>
        <v>116.63</v>
      </c>
      <c r="M34" s="7">
        <f t="shared" si="7"/>
        <v>819.34999999999991</v>
      </c>
      <c r="N34" s="45">
        <f t="shared" si="7"/>
        <v>875.96999999999991</v>
      </c>
      <c r="O34" s="1"/>
      <c r="P34" s="3"/>
      <c r="Q34" s="5"/>
      <c r="R34" s="5"/>
      <c r="S34" s="5"/>
      <c r="T34" s="5"/>
      <c r="U34" s="1"/>
      <c r="V34" s="3"/>
      <c r="W34" s="5"/>
      <c r="X34" s="5"/>
      <c r="Y34" s="5"/>
      <c r="Z34" s="5"/>
    </row>
    <row r="35" spans="2:26" ht="15.75" thickBot="1" x14ac:dyDescent="0.3">
      <c r="B35" s="148"/>
      <c r="C35" s="34"/>
      <c r="D35" s="20" t="s">
        <v>12</v>
      </c>
      <c r="E35" s="21"/>
      <c r="F35" s="48"/>
      <c r="G35" s="22">
        <f t="shared" ref="G35:N35" si="8">G25+G34</f>
        <v>38.125</v>
      </c>
      <c r="H35" s="49">
        <f t="shared" si="8"/>
        <v>43.08</v>
      </c>
      <c r="I35" s="22">
        <f t="shared" si="8"/>
        <v>39.010000000000005</v>
      </c>
      <c r="J35" s="49">
        <f t="shared" si="8"/>
        <v>43.58</v>
      </c>
      <c r="K35" s="22">
        <f t="shared" si="8"/>
        <v>158.19999999999999</v>
      </c>
      <c r="L35" s="49">
        <f t="shared" si="8"/>
        <v>177.20999999999998</v>
      </c>
      <c r="M35" s="22">
        <f t="shared" si="8"/>
        <v>1136.3899999999999</v>
      </c>
      <c r="N35" s="51">
        <f t="shared" si="8"/>
        <v>1273.3799999999999</v>
      </c>
      <c r="O35" s="1"/>
      <c r="P35" s="3"/>
      <c r="Q35" s="5"/>
      <c r="R35" s="5"/>
      <c r="S35" s="5"/>
      <c r="T35" s="5"/>
      <c r="U35" s="1"/>
      <c r="V35" s="3"/>
      <c r="W35" s="5"/>
      <c r="X35" s="5"/>
      <c r="Y35" s="5"/>
      <c r="Z35" s="5"/>
    </row>
    <row r="36" spans="2:26" x14ac:dyDescent="0.25">
      <c r="B36" s="139" t="s">
        <v>69</v>
      </c>
      <c r="C36" s="149" t="s">
        <v>8</v>
      </c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1"/>
    </row>
    <row r="37" spans="2:26" x14ac:dyDescent="0.25">
      <c r="B37" s="140"/>
      <c r="C37" s="29" t="s">
        <v>184</v>
      </c>
      <c r="D37" s="82" t="s">
        <v>185</v>
      </c>
      <c r="E37" s="79">
        <v>200</v>
      </c>
      <c r="F37" s="40">
        <v>200</v>
      </c>
      <c r="G37" s="30">
        <f>E37*2.8/100</f>
        <v>5.6</v>
      </c>
      <c r="H37" s="42">
        <f>F37*2.8/100</f>
        <v>5.6</v>
      </c>
      <c r="I37" s="30">
        <f>E37*3.16/100</f>
        <v>6.32</v>
      </c>
      <c r="J37" s="42">
        <f>F37*3.16/100</f>
        <v>6.32</v>
      </c>
      <c r="K37" s="30">
        <f>E37*9.88/100</f>
        <v>19.760000000000002</v>
      </c>
      <c r="L37" s="42">
        <f>F37*9.88/100</f>
        <v>19.760000000000002</v>
      </c>
      <c r="M37" s="30">
        <f t="shared" ref="M37:N40" si="9">G37*4+I37*9+K37*4</f>
        <v>158.32</v>
      </c>
      <c r="N37" s="44">
        <f t="shared" si="9"/>
        <v>158.32</v>
      </c>
      <c r="O37" s="63"/>
    </row>
    <row r="38" spans="2:26" s="19" customFormat="1" x14ac:dyDescent="0.25">
      <c r="B38" s="140"/>
      <c r="C38" s="66" t="s">
        <v>215</v>
      </c>
      <c r="D38" s="64" t="s">
        <v>216</v>
      </c>
      <c r="E38" s="84">
        <v>10</v>
      </c>
      <c r="F38" s="65">
        <v>10</v>
      </c>
      <c r="G38" s="30">
        <f>E38*0.8/100</f>
        <v>0.08</v>
      </c>
      <c r="H38" s="42">
        <f>F38*0.8/100</f>
        <v>0.08</v>
      </c>
      <c r="I38" s="30">
        <f>E38*72.5/100</f>
        <v>7.25</v>
      </c>
      <c r="J38" s="42">
        <f>F38*72.5/100</f>
        <v>7.25</v>
      </c>
      <c r="K38" s="30">
        <f>E38*1.3/100</f>
        <v>0.13</v>
      </c>
      <c r="L38" s="42">
        <f>F38*1.3/100</f>
        <v>0.13</v>
      </c>
      <c r="M38" s="30">
        <f t="shared" si="9"/>
        <v>66.089999999999989</v>
      </c>
      <c r="N38" s="44">
        <f t="shared" si="9"/>
        <v>66.089999999999989</v>
      </c>
      <c r="O38" s="63"/>
    </row>
    <row r="39" spans="2:26" x14ac:dyDescent="0.25">
      <c r="B39" s="140"/>
      <c r="C39" s="29" t="s">
        <v>208</v>
      </c>
      <c r="D39" s="6" t="s">
        <v>209</v>
      </c>
      <c r="E39" s="90">
        <v>30</v>
      </c>
      <c r="F39" s="91">
        <v>40</v>
      </c>
      <c r="G39" s="30">
        <f>E39*7.6/100</f>
        <v>2.2799999999999998</v>
      </c>
      <c r="H39" s="42">
        <f>F39*7.6/100</f>
        <v>3.04</v>
      </c>
      <c r="I39" s="30">
        <f>E39*0.8/100</f>
        <v>0.24</v>
      </c>
      <c r="J39" s="42">
        <f>F39*0.8/100</f>
        <v>0.32</v>
      </c>
      <c r="K39" s="30">
        <f>E39*49.2/100</f>
        <v>14.76</v>
      </c>
      <c r="L39" s="42">
        <f>F39*49.2/100</f>
        <v>19.68</v>
      </c>
      <c r="M39" s="30">
        <f t="shared" si="9"/>
        <v>70.319999999999993</v>
      </c>
      <c r="N39" s="44">
        <f t="shared" si="9"/>
        <v>93.759999999999991</v>
      </c>
    </row>
    <row r="40" spans="2:26" x14ac:dyDescent="0.25">
      <c r="B40" s="140"/>
      <c r="C40" s="23" t="s">
        <v>79</v>
      </c>
      <c r="D40" s="9" t="s">
        <v>16</v>
      </c>
      <c r="E40" s="84">
        <v>200</v>
      </c>
      <c r="F40" s="40">
        <v>200</v>
      </c>
      <c r="G40" s="30">
        <f>E40*0.2/200</f>
        <v>0.2</v>
      </c>
      <c r="H40" s="42">
        <f>F40*0.2/200</f>
        <v>0.2</v>
      </c>
      <c r="I40" s="30">
        <f t="shared" ref="I40:J40" si="10">E40*0.1/200</f>
        <v>0.1</v>
      </c>
      <c r="J40" s="42">
        <f t="shared" si="10"/>
        <v>0.1</v>
      </c>
      <c r="K40" s="30">
        <f>E40*9.3/200</f>
        <v>9.3000000000000007</v>
      </c>
      <c r="L40" s="42">
        <f>F40*9.3/200</f>
        <v>9.3000000000000007</v>
      </c>
      <c r="M40" s="30">
        <f t="shared" si="9"/>
        <v>38.900000000000006</v>
      </c>
      <c r="N40" s="44">
        <f t="shared" si="9"/>
        <v>38.900000000000006</v>
      </c>
    </row>
    <row r="41" spans="2:26" x14ac:dyDescent="0.25">
      <c r="B41" s="140"/>
      <c r="C41" s="35"/>
      <c r="D41" s="4" t="s">
        <v>13</v>
      </c>
      <c r="E41" s="32">
        <f t="shared" ref="E41:L41" si="11">SUM(E37:E40)</f>
        <v>440</v>
      </c>
      <c r="F41" s="41">
        <f t="shared" si="11"/>
        <v>450</v>
      </c>
      <c r="G41" s="7">
        <f t="shared" si="11"/>
        <v>8.1599999999999984</v>
      </c>
      <c r="H41" s="43">
        <f t="shared" si="11"/>
        <v>8.9199999999999982</v>
      </c>
      <c r="I41" s="7">
        <f t="shared" si="11"/>
        <v>13.91</v>
      </c>
      <c r="J41" s="43">
        <f t="shared" si="11"/>
        <v>13.99</v>
      </c>
      <c r="K41" s="7">
        <f t="shared" si="11"/>
        <v>43.95</v>
      </c>
      <c r="L41" s="43">
        <f t="shared" si="11"/>
        <v>48.870000000000005</v>
      </c>
      <c r="M41" s="7">
        <f t="shared" ref="M41:N41" si="12">G41*4+I41*9+K41*4</f>
        <v>333.63</v>
      </c>
      <c r="N41" s="45">
        <f t="shared" si="12"/>
        <v>357.07</v>
      </c>
    </row>
    <row r="42" spans="2:26" x14ac:dyDescent="0.25">
      <c r="B42" s="140"/>
      <c r="C42" s="136" t="s">
        <v>9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8"/>
    </row>
    <row r="43" spans="2:26" x14ac:dyDescent="0.25">
      <c r="B43" s="140"/>
      <c r="C43" s="23" t="s">
        <v>217</v>
      </c>
      <c r="D43" s="9" t="s">
        <v>77</v>
      </c>
      <c r="E43" s="59">
        <v>60</v>
      </c>
      <c r="F43" s="52">
        <v>100</v>
      </c>
      <c r="G43" s="31">
        <f>E43*0.7/100</f>
        <v>0.42</v>
      </c>
      <c r="H43" s="53">
        <f>F43*0.7/100</f>
        <v>0.7</v>
      </c>
      <c r="I43" s="31">
        <f>E43*0.1/100</f>
        <v>0.06</v>
      </c>
      <c r="J43" s="53">
        <f>F43*0.1/100</f>
        <v>0.1</v>
      </c>
      <c r="K43" s="31">
        <f>E43*1.9/100</f>
        <v>1.1399999999999999</v>
      </c>
      <c r="L43" s="53">
        <f>F43*1.9/100</f>
        <v>1.9</v>
      </c>
      <c r="M43" s="31">
        <f t="shared" ref="M43:N44" si="13">G43*4+I43*9+K43*4</f>
        <v>6.7799999999999994</v>
      </c>
      <c r="N43" s="50">
        <f t="shared" si="13"/>
        <v>11.299999999999999</v>
      </c>
    </row>
    <row r="44" spans="2:26" s="19" customFormat="1" x14ac:dyDescent="0.25">
      <c r="B44" s="140"/>
      <c r="C44" s="23" t="s">
        <v>147</v>
      </c>
      <c r="D44" s="8" t="s">
        <v>148</v>
      </c>
      <c r="E44" s="80">
        <v>200</v>
      </c>
      <c r="F44" s="52">
        <v>250</v>
      </c>
      <c r="G44" s="31">
        <v>1.73</v>
      </c>
      <c r="H44" s="53">
        <v>2.13</v>
      </c>
      <c r="I44" s="31">
        <v>4.1900000000000004</v>
      </c>
      <c r="J44" s="53">
        <v>5.05</v>
      </c>
      <c r="K44" s="31">
        <v>8.18</v>
      </c>
      <c r="L44" s="53">
        <v>10.18</v>
      </c>
      <c r="M44" s="31">
        <f t="shared" si="13"/>
        <v>77.349999999999994</v>
      </c>
      <c r="N44" s="50">
        <f t="shared" si="13"/>
        <v>94.69</v>
      </c>
    </row>
    <row r="45" spans="2:26" x14ac:dyDescent="0.25">
      <c r="B45" s="140"/>
      <c r="C45" s="23" t="s">
        <v>21</v>
      </c>
      <c r="D45" s="9" t="s">
        <v>22</v>
      </c>
      <c r="E45" s="60">
        <v>150</v>
      </c>
      <c r="F45" s="40">
        <v>180</v>
      </c>
      <c r="G45" s="30">
        <f>E45*2.1/100</f>
        <v>3.15</v>
      </c>
      <c r="H45" s="42">
        <f>F45*2.1/100</f>
        <v>3.78</v>
      </c>
      <c r="I45" s="30">
        <f>E45*4.5/100</f>
        <v>6.75</v>
      </c>
      <c r="J45" s="42">
        <f>F45*4.5/100</f>
        <v>8.1</v>
      </c>
      <c r="K45" s="30">
        <f>E45*14.6/100</f>
        <v>21.9</v>
      </c>
      <c r="L45" s="42">
        <f>F45*14.6/100</f>
        <v>26.28</v>
      </c>
      <c r="M45" s="30">
        <f t="shared" ref="M45:N51" si="14">G45*4+I45*9+K45*4</f>
        <v>160.94999999999999</v>
      </c>
      <c r="N45" s="44">
        <f t="shared" si="14"/>
        <v>193.14</v>
      </c>
    </row>
    <row r="46" spans="2:26" x14ac:dyDescent="0.25">
      <c r="B46" s="140"/>
      <c r="C46" s="86" t="s">
        <v>137</v>
      </c>
      <c r="D46" s="68" t="s">
        <v>138</v>
      </c>
      <c r="E46" s="84">
        <v>90</v>
      </c>
      <c r="F46" s="40">
        <v>100</v>
      </c>
      <c r="G46" s="30">
        <f>E46*15.9/100</f>
        <v>14.31</v>
      </c>
      <c r="H46" s="42">
        <f>F46*15.9/100</f>
        <v>15.9</v>
      </c>
      <c r="I46" s="30">
        <f>E46*14.4/100</f>
        <v>12.96</v>
      </c>
      <c r="J46" s="42">
        <f>F46*14.4/100</f>
        <v>14.4</v>
      </c>
      <c r="K46" s="30">
        <f>E46*16/100</f>
        <v>14.4</v>
      </c>
      <c r="L46" s="42">
        <f>F46*16/100</f>
        <v>16</v>
      </c>
      <c r="M46" s="30">
        <f t="shared" si="14"/>
        <v>231.48000000000002</v>
      </c>
      <c r="N46" s="44">
        <f t="shared" si="14"/>
        <v>257.2</v>
      </c>
    </row>
    <row r="47" spans="2:26" s="19" customFormat="1" x14ac:dyDescent="0.25">
      <c r="B47" s="140"/>
      <c r="C47" s="23" t="s">
        <v>218</v>
      </c>
      <c r="D47" s="9" t="s">
        <v>219</v>
      </c>
      <c r="E47" s="84">
        <v>40</v>
      </c>
      <c r="F47" s="40">
        <v>50</v>
      </c>
      <c r="G47" s="30">
        <f>E47*1.3/50</f>
        <v>1.04</v>
      </c>
      <c r="H47" s="42">
        <f>F47*1.3/50</f>
        <v>1.3</v>
      </c>
      <c r="I47" s="30">
        <f>E47*4.8/50</f>
        <v>3.84</v>
      </c>
      <c r="J47" s="42">
        <f>F47*4.8/50</f>
        <v>4.8</v>
      </c>
      <c r="K47" s="30">
        <f>E47*4.7/50</f>
        <v>3.76</v>
      </c>
      <c r="L47" s="42">
        <f>F47*4.7/50</f>
        <v>4.7</v>
      </c>
      <c r="M47" s="30">
        <f t="shared" si="14"/>
        <v>53.76</v>
      </c>
      <c r="N47" s="44">
        <f t="shared" si="14"/>
        <v>67.2</v>
      </c>
    </row>
    <row r="48" spans="2:26" x14ac:dyDescent="0.25">
      <c r="B48" s="140"/>
      <c r="C48" s="29" t="s">
        <v>78</v>
      </c>
      <c r="D48" s="6" t="s">
        <v>11</v>
      </c>
      <c r="E48" s="84">
        <v>200</v>
      </c>
      <c r="F48" s="40">
        <v>200</v>
      </c>
      <c r="G48" s="30">
        <f>E48*0.3/200</f>
        <v>0.3</v>
      </c>
      <c r="H48" s="42">
        <f>F48*0.3/200</f>
        <v>0.3</v>
      </c>
      <c r="I48" s="30">
        <f t="shared" ref="I48:J48" si="15">E48*0.1/200</f>
        <v>0.1</v>
      </c>
      <c r="J48" s="42">
        <f t="shared" si="15"/>
        <v>0.1</v>
      </c>
      <c r="K48" s="30">
        <f>E48*9.5/200</f>
        <v>9.5</v>
      </c>
      <c r="L48" s="42">
        <f>F48*9.5/200</f>
        <v>9.5</v>
      </c>
      <c r="M48" s="30">
        <f t="shared" si="14"/>
        <v>40.1</v>
      </c>
      <c r="N48" s="44">
        <f t="shared" si="14"/>
        <v>40.1</v>
      </c>
    </row>
    <row r="49" spans="2:14" s="19" customFormat="1" x14ac:dyDescent="0.25">
      <c r="B49" s="140"/>
      <c r="C49" s="29" t="s">
        <v>67</v>
      </c>
      <c r="D49" s="6" t="s">
        <v>133</v>
      </c>
      <c r="E49" s="60">
        <v>100</v>
      </c>
      <c r="F49" s="40">
        <v>100</v>
      </c>
      <c r="G49" s="30">
        <v>0.4</v>
      </c>
      <c r="H49" s="42">
        <v>0.4</v>
      </c>
      <c r="I49" s="30">
        <v>0.4</v>
      </c>
      <c r="J49" s="42">
        <v>0.4</v>
      </c>
      <c r="K49" s="30">
        <v>9.8000000000000007</v>
      </c>
      <c r="L49" s="42">
        <v>9.8000000000000007</v>
      </c>
      <c r="M49" s="30">
        <f t="shared" si="14"/>
        <v>44.400000000000006</v>
      </c>
      <c r="N49" s="44">
        <f t="shared" si="14"/>
        <v>44.400000000000006</v>
      </c>
    </row>
    <row r="50" spans="2:14" x14ac:dyDescent="0.25">
      <c r="B50" s="140"/>
      <c r="C50" s="29" t="s">
        <v>210</v>
      </c>
      <c r="D50" s="6" t="s">
        <v>24</v>
      </c>
      <c r="E50" s="90">
        <v>20</v>
      </c>
      <c r="F50" s="91">
        <v>20</v>
      </c>
      <c r="G50" s="30">
        <f>E50*8/100</f>
        <v>1.6</v>
      </c>
      <c r="H50" s="42">
        <f>F50*8/100</f>
        <v>1.6</v>
      </c>
      <c r="I50" s="30">
        <f>E50*1.5/100</f>
        <v>0.3</v>
      </c>
      <c r="J50" s="42">
        <f>F50*1.5/100</f>
        <v>0.3</v>
      </c>
      <c r="K50" s="30">
        <f>E50*40.1/100</f>
        <v>8.02</v>
      </c>
      <c r="L50" s="42">
        <f>F50*40.1/100</f>
        <v>8.02</v>
      </c>
      <c r="M50" s="30">
        <f t="shared" si="14"/>
        <v>41.18</v>
      </c>
      <c r="N50" s="44">
        <f t="shared" si="14"/>
        <v>41.18</v>
      </c>
    </row>
    <row r="51" spans="2:14" x14ac:dyDescent="0.25">
      <c r="B51" s="140"/>
      <c r="C51" s="29" t="s">
        <v>208</v>
      </c>
      <c r="D51" s="6" t="s">
        <v>209</v>
      </c>
      <c r="E51" s="90">
        <v>40</v>
      </c>
      <c r="F51" s="91">
        <v>40</v>
      </c>
      <c r="G51" s="30">
        <f>E51*7.6/100</f>
        <v>3.04</v>
      </c>
      <c r="H51" s="42">
        <f>F51*7.6/100</f>
        <v>3.04</v>
      </c>
      <c r="I51" s="30">
        <f>E51*0.8/100</f>
        <v>0.32</v>
      </c>
      <c r="J51" s="42">
        <f>F51*0.8/100</f>
        <v>0.32</v>
      </c>
      <c r="K51" s="30">
        <f>E51*49.2/100</f>
        <v>19.68</v>
      </c>
      <c r="L51" s="42">
        <f>F51*49.2/100</f>
        <v>19.68</v>
      </c>
      <c r="M51" s="30">
        <f t="shared" si="14"/>
        <v>93.759999999999991</v>
      </c>
      <c r="N51" s="44">
        <f t="shared" si="14"/>
        <v>93.759999999999991</v>
      </c>
    </row>
    <row r="52" spans="2:14" x14ac:dyDescent="0.25">
      <c r="B52" s="140"/>
      <c r="C52" s="29"/>
      <c r="D52" s="4" t="s">
        <v>14</v>
      </c>
      <c r="E52" s="32">
        <f t="shared" ref="E52:N52" si="16">SUM(E43:E51)</f>
        <v>900</v>
      </c>
      <c r="F52" s="47">
        <f t="shared" si="16"/>
        <v>1040</v>
      </c>
      <c r="G52" s="7">
        <f t="shared" si="16"/>
        <v>25.99</v>
      </c>
      <c r="H52" s="43">
        <f t="shared" si="16"/>
        <v>29.15</v>
      </c>
      <c r="I52" s="32">
        <f t="shared" si="16"/>
        <v>28.92</v>
      </c>
      <c r="J52" s="43">
        <f t="shared" si="16"/>
        <v>33.569999999999993</v>
      </c>
      <c r="K52" s="7">
        <f t="shared" si="16"/>
        <v>96.38</v>
      </c>
      <c r="L52" s="43">
        <f t="shared" si="16"/>
        <v>106.06</v>
      </c>
      <c r="M52" s="7">
        <f t="shared" si="16"/>
        <v>749.76</v>
      </c>
      <c r="N52" s="45">
        <f t="shared" si="16"/>
        <v>842.96999999999991</v>
      </c>
    </row>
    <row r="53" spans="2:14" ht="15.75" thickBot="1" x14ac:dyDescent="0.3">
      <c r="B53" s="141"/>
      <c r="C53" s="34"/>
      <c r="D53" s="20" t="s">
        <v>12</v>
      </c>
      <c r="E53" s="21"/>
      <c r="F53" s="48"/>
      <c r="G53" s="22">
        <f t="shared" ref="G53:N53" si="17">G41+G52</f>
        <v>34.15</v>
      </c>
      <c r="H53" s="49">
        <f t="shared" si="17"/>
        <v>38.069999999999993</v>
      </c>
      <c r="I53" s="22">
        <f t="shared" si="17"/>
        <v>42.83</v>
      </c>
      <c r="J53" s="49">
        <f t="shared" si="17"/>
        <v>47.559999999999995</v>
      </c>
      <c r="K53" s="22">
        <f t="shared" si="17"/>
        <v>140.32999999999998</v>
      </c>
      <c r="L53" s="49">
        <f t="shared" si="17"/>
        <v>154.93</v>
      </c>
      <c r="M53" s="22">
        <f t="shared" si="17"/>
        <v>1083.3899999999999</v>
      </c>
      <c r="N53" s="51">
        <f t="shared" si="17"/>
        <v>1200.04</v>
      </c>
    </row>
    <row r="54" spans="2:14" x14ac:dyDescent="0.25">
      <c r="B54" s="139" t="s">
        <v>71</v>
      </c>
      <c r="C54" s="149" t="s">
        <v>8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1"/>
    </row>
    <row r="55" spans="2:14" x14ac:dyDescent="0.25">
      <c r="B55" s="140"/>
      <c r="C55" s="81" t="s">
        <v>127</v>
      </c>
      <c r="D55" s="67" t="s">
        <v>128</v>
      </c>
      <c r="E55" s="79">
        <v>130</v>
      </c>
      <c r="F55" s="39">
        <v>150</v>
      </c>
      <c r="G55" s="30">
        <f>E55*17.1/100</f>
        <v>22.23</v>
      </c>
      <c r="H55" s="42">
        <f>F55*17.1/100</f>
        <v>25.65</v>
      </c>
      <c r="I55" s="30">
        <f>E55*12.2/100</f>
        <v>15.86</v>
      </c>
      <c r="J55" s="42">
        <f>F55*12.2/100</f>
        <v>18.3</v>
      </c>
      <c r="K55" s="30">
        <f>E55*15.5/100</f>
        <v>20.149999999999999</v>
      </c>
      <c r="L55" s="42">
        <f>F55*15.5/100</f>
        <v>23.25</v>
      </c>
      <c r="M55" s="79">
        <f t="shared" ref="M55:N55" si="18">G55*4+I55*9+K55*4</f>
        <v>312.26</v>
      </c>
      <c r="N55" s="44">
        <f t="shared" si="18"/>
        <v>360.3</v>
      </c>
    </row>
    <row r="56" spans="2:14" x14ac:dyDescent="0.25">
      <c r="B56" s="140"/>
      <c r="C56" s="81" t="s">
        <v>67</v>
      </c>
      <c r="D56" s="64" t="s">
        <v>132</v>
      </c>
      <c r="E56" s="79">
        <v>10</v>
      </c>
      <c r="F56" s="65">
        <v>10</v>
      </c>
      <c r="G56" s="30">
        <f>E56*5/100</f>
        <v>0.5</v>
      </c>
      <c r="H56" s="42">
        <f>F56*5/100</f>
        <v>0.5</v>
      </c>
      <c r="I56" s="30">
        <f>E56*8.5/100</f>
        <v>0.85</v>
      </c>
      <c r="J56" s="42">
        <f>F56*8.5/100</f>
        <v>0.85</v>
      </c>
      <c r="K56" s="30">
        <f>E56*56/100</f>
        <v>5.6</v>
      </c>
      <c r="L56" s="42">
        <f>F56*56/100</f>
        <v>5.6</v>
      </c>
      <c r="M56" s="30">
        <f t="shared" ref="M56:N58" si="19">G56*4+I56*9+K56*4</f>
        <v>32.049999999999997</v>
      </c>
      <c r="N56" s="44">
        <f t="shared" si="19"/>
        <v>32.049999999999997</v>
      </c>
    </row>
    <row r="57" spans="2:14" x14ac:dyDescent="0.25">
      <c r="B57" s="140"/>
      <c r="C57" s="33" t="s">
        <v>151</v>
      </c>
      <c r="D57" s="9" t="s">
        <v>152</v>
      </c>
      <c r="E57" s="79">
        <v>200</v>
      </c>
      <c r="F57" s="40">
        <v>200</v>
      </c>
      <c r="G57" s="30">
        <f>E57*1.4/200</f>
        <v>1.4</v>
      </c>
      <c r="H57" s="42">
        <f>F57*1.4/200</f>
        <v>1.4</v>
      </c>
      <c r="I57" s="30">
        <f>E57*1.2/200</f>
        <v>1.2</v>
      </c>
      <c r="J57" s="42">
        <f>F57*1.2/200</f>
        <v>1.2</v>
      </c>
      <c r="K57" s="30">
        <f>E57*11.4/200</f>
        <v>11.4</v>
      </c>
      <c r="L57" s="42">
        <f>F57*11.4/200</f>
        <v>11.4</v>
      </c>
      <c r="M57" s="30">
        <f t="shared" si="19"/>
        <v>62</v>
      </c>
      <c r="N57" s="44">
        <f t="shared" si="19"/>
        <v>62</v>
      </c>
    </row>
    <row r="58" spans="2:14" x14ac:dyDescent="0.25">
      <c r="B58" s="140"/>
      <c r="C58" s="35"/>
      <c r="D58" s="4" t="s">
        <v>13</v>
      </c>
      <c r="E58" s="32">
        <f t="shared" ref="E58:L58" si="20">SUM(E55:E57)</f>
        <v>340</v>
      </c>
      <c r="F58" s="41">
        <f t="shared" si="20"/>
        <v>360</v>
      </c>
      <c r="G58" s="7">
        <f t="shared" si="20"/>
        <v>24.13</v>
      </c>
      <c r="H58" s="43">
        <f t="shared" si="20"/>
        <v>27.549999999999997</v>
      </c>
      <c r="I58" s="7">
        <f t="shared" si="20"/>
        <v>17.91</v>
      </c>
      <c r="J58" s="43">
        <f t="shared" si="20"/>
        <v>20.350000000000001</v>
      </c>
      <c r="K58" s="7">
        <f t="shared" si="20"/>
        <v>37.15</v>
      </c>
      <c r="L58" s="43">
        <f t="shared" si="20"/>
        <v>40.25</v>
      </c>
      <c r="M58" s="7">
        <f t="shared" si="19"/>
        <v>406.30999999999995</v>
      </c>
      <c r="N58" s="45">
        <f t="shared" si="19"/>
        <v>454.35</v>
      </c>
    </row>
    <row r="59" spans="2:14" x14ac:dyDescent="0.25">
      <c r="B59" s="140"/>
      <c r="C59" s="136" t="s">
        <v>9</v>
      </c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8"/>
    </row>
    <row r="60" spans="2:14" x14ac:dyDescent="0.25">
      <c r="B60" s="140"/>
      <c r="C60" s="23" t="s">
        <v>220</v>
      </c>
      <c r="D60" s="9" t="s">
        <v>139</v>
      </c>
      <c r="E60" s="84">
        <v>60</v>
      </c>
      <c r="F60" s="46">
        <v>100</v>
      </c>
      <c r="G60" s="30">
        <f>E60*1.1/100</f>
        <v>0.66</v>
      </c>
      <c r="H60" s="42">
        <f>F60*1.1/100</f>
        <v>1.1000000000000001</v>
      </c>
      <c r="I60" s="30">
        <f>E60*0.2/100</f>
        <v>0.12</v>
      </c>
      <c r="J60" s="42">
        <f>F60*0.2/100</f>
        <v>0.2</v>
      </c>
      <c r="K60" s="30">
        <f>E60*3.8/100</f>
        <v>2.2799999999999998</v>
      </c>
      <c r="L60" s="42">
        <f>F60*3.8/100</f>
        <v>3.8</v>
      </c>
      <c r="M60" s="31">
        <f t="shared" ref="M60:N60" si="21">G60*4+I60*9+K60*4</f>
        <v>12.84</v>
      </c>
      <c r="N60" s="50">
        <f t="shared" si="21"/>
        <v>21.4</v>
      </c>
    </row>
    <row r="61" spans="2:14" s="19" customFormat="1" ht="18" customHeight="1" x14ac:dyDescent="0.25">
      <c r="B61" s="140"/>
      <c r="C61" s="23" t="s">
        <v>20</v>
      </c>
      <c r="D61" s="8" t="s">
        <v>134</v>
      </c>
      <c r="E61" s="59">
        <v>200</v>
      </c>
      <c r="F61" s="52">
        <v>250</v>
      </c>
      <c r="G61" s="31">
        <f>E61*2.9/250</f>
        <v>2.3199999999999998</v>
      </c>
      <c r="H61" s="53">
        <f>F61*2.9/250</f>
        <v>2.9</v>
      </c>
      <c r="I61" s="31">
        <f>E61*2.5/250</f>
        <v>2</v>
      </c>
      <c r="J61" s="53">
        <f>F61*2.5/250</f>
        <v>2.5</v>
      </c>
      <c r="K61" s="31">
        <f>E61*21/250</f>
        <v>16.8</v>
      </c>
      <c r="L61" s="53">
        <f>F61*21/250</f>
        <v>21</v>
      </c>
      <c r="M61" s="31">
        <f t="shared" ref="M61:N66" si="22">G61*4+I61*9+K61*4</f>
        <v>94.48</v>
      </c>
      <c r="N61" s="50">
        <f t="shared" ref="N61" si="23">H61*4+J61*9+L61*4</f>
        <v>118.1</v>
      </c>
    </row>
    <row r="62" spans="2:14" s="19" customFormat="1" ht="15" customHeight="1" x14ac:dyDescent="0.25">
      <c r="B62" s="140"/>
      <c r="C62" s="23" t="s">
        <v>221</v>
      </c>
      <c r="D62" s="8" t="s">
        <v>222</v>
      </c>
      <c r="E62" s="84">
        <v>230</v>
      </c>
      <c r="F62" s="40">
        <v>250</v>
      </c>
      <c r="G62" s="30">
        <f>E62*7.31/100</f>
        <v>16.812999999999999</v>
      </c>
      <c r="H62" s="42">
        <f>F62*7.31/100</f>
        <v>18.274999999999999</v>
      </c>
      <c r="I62" s="84">
        <f>E62*9.9/100</f>
        <v>22.77</v>
      </c>
      <c r="J62" s="42">
        <f>F62*9.9/100</f>
        <v>24.75</v>
      </c>
      <c r="K62" s="30">
        <f>E62*6.27/100</f>
        <v>14.420999999999999</v>
      </c>
      <c r="L62" s="42">
        <f>F62*6.27/100</f>
        <v>15.675000000000001</v>
      </c>
      <c r="M62" s="30">
        <f t="shared" si="22"/>
        <v>329.86599999999999</v>
      </c>
      <c r="N62" s="44">
        <f t="shared" si="22"/>
        <v>358.55</v>
      </c>
    </row>
    <row r="63" spans="2:14" x14ac:dyDescent="0.25">
      <c r="B63" s="140"/>
      <c r="C63" s="23" t="s">
        <v>83</v>
      </c>
      <c r="D63" s="9" t="s">
        <v>84</v>
      </c>
      <c r="E63" s="79">
        <v>200</v>
      </c>
      <c r="F63" s="40">
        <v>200</v>
      </c>
      <c r="G63" s="30">
        <f>E63*0.6/200</f>
        <v>0.6</v>
      </c>
      <c r="H63" s="42">
        <f>F63*0.6/200</f>
        <v>0.6</v>
      </c>
      <c r="I63" s="30">
        <f>E63*0.1/200</f>
        <v>0.1</v>
      </c>
      <c r="J63" s="42">
        <f>F63*0.1/200</f>
        <v>0.1</v>
      </c>
      <c r="K63" s="30">
        <f>E63*20.1/200</f>
        <v>20.100000000000001</v>
      </c>
      <c r="L63" s="42">
        <f>F63*20.1/200</f>
        <v>20.100000000000001</v>
      </c>
      <c r="M63" s="30">
        <f t="shared" si="22"/>
        <v>83.7</v>
      </c>
      <c r="N63" s="44">
        <f t="shared" si="22"/>
        <v>83.7</v>
      </c>
    </row>
    <row r="64" spans="2:14" s="19" customFormat="1" x14ac:dyDescent="0.25">
      <c r="B64" s="140"/>
      <c r="C64" s="29" t="s">
        <v>67</v>
      </c>
      <c r="D64" s="6" t="s">
        <v>133</v>
      </c>
      <c r="E64" s="60">
        <v>100</v>
      </c>
      <c r="F64" s="40">
        <v>100</v>
      </c>
      <c r="G64" s="30">
        <v>0.4</v>
      </c>
      <c r="H64" s="42">
        <v>0.4</v>
      </c>
      <c r="I64" s="30">
        <v>0.4</v>
      </c>
      <c r="J64" s="42">
        <v>0.4</v>
      </c>
      <c r="K64" s="30">
        <v>9.8000000000000007</v>
      </c>
      <c r="L64" s="42">
        <v>9.8000000000000007</v>
      </c>
      <c r="M64" s="30">
        <f t="shared" si="22"/>
        <v>44.400000000000006</v>
      </c>
      <c r="N64" s="44">
        <f t="shared" si="22"/>
        <v>44.400000000000006</v>
      </c>
    </row>
    <row r="65" spans="2:14" x14ac:dyDescent="0.25">
      <c r="B65" s="140"/>
      <c r="C65" s="29" t="s">
        <v>210</v>
      </c>
      <c r="D65" s="6" t="s">
        <v>24</v>
      </c>
      <c r="E65" s="90">
        <v>20</v>
      </c>
      <c r="F65" s="91">
        <v>20</v>
      </c>
      <c r="G65" s="30">
        <f>E65*8/100</f>
        <v>1.6</v>
      </c>
      <c r="H65" s="42">
        <f>F65*8/100</f>
        <v>1.6</v>
      </c>
      <c r="I65" s="30">
        <f>E65*1.5/100</f>
        <v>0.3</v>
      </c>
      <c r="J65" s="42">
        <f>F65*1.5/100</f>
        <v>0.3</v>
      </c>
      <c r="K65" s="30">
        <f>E65*40.1/100</f>
        <v>8.02</v>
      </c>
      <c r="L65" s="42">
        <f>F65*40.1/100</f>
        <v>8.02</v>
      </c>
      <c r="M65" s="30">
        <f t="shared" si="22"/>
        <v>41.18</v>
      </c>
      <c r="N65" s="44">
        <f t="shared" si="22"/>
        <v>41.18</v>
      </c>
    </row>
    <row r="66" spans="2:14" x14ac:dyDescent="0.25">
      <c r="B66" s="140"/>
      <c r="C66" s="29" t="s">
        <v>208</v>
      </c>
      <c r="D66" s="6" t="s">
        <v>209</v>
      </c>
      <c r="E66" s="90">
        <v>45</v>
      </c>
      <c r="F66" s="91">
        <v>45</v>
      </c>
      <c r="G66" s="30">
        <f>E66*7.6/100</f>
        <v>3.42</v>
      </c>
      <c r="H66" s="42">
        <f>F66*7.6/100</f>
        <v>3.42</v>
      </c>
      <c r="I66" s="30">
        <f>E66*0.8/100</f>
        <v>0.36</v>
      </c>
      <c r="J66" s="42">
        <f>F66*0.8/100</f>
        <v>0.36</v>
      </c>
      <c r="K66" s="30">
        <f>E66*49.2/100</f>
        <v>22.14</v>
      </c>
      <c r="L66" s="42">
        <f>F66*49.2/100</f>
        <v>22.14</v>
      </c>
      <c r="M66" s="30">
        <f t="shared" si="22"/>
        <v>105.48</v>
      </c>
      <c r="N66" s="44">
        <f t="shared" si="22"/>
        <v>105.48</v>
      </c>
    </row>
    <row r="67" spans="2:14" x14ac:dyDescent="0.25">
      <c r="B67" s="140"/>
      <c r="C67" s="29"/>
      <c r="D67" s="4" t="s">
        <v>14</v>
      </c>
      <c r="E67" s="32">
        <f t="shared" ref="E67:N67" si="24">SUM(E60:E66)</f>
        <v>855</v>
      </c>
      <c r="F67" s="47">
        <f t="shared" si="24"/>
        <v>965</v>
      </c>
      <c r="G67" s="7">
        <f t="shared" si="24"/>
        <v>25.813000000000002</v>
      </c>
      <c r="H67" s="43">
        <f t="shared" si="24"/>
        <v>28.295000000000002</v>
      </c>
      <c r="I67" s="32">
        <f t="shared" si="24"/>
        <v>26.05</v>
      </c>
      <c r="J67" s="43">
        <f t="shared" si="24"/>
        <v>28.61</v>
      </c>
      <c r="K67" s="7">
        <f t="shared" si="24"/>
        <v>93.561000000000007</v>
      </c>
      <c r="L67" s="43">
        <f t="shared" si="24"/>
        <v>100.535</v>
      </c>
      <c r="M67" s="7">
        <f t="shared" si="24"/>
        <v>711.94599999999991</v>
      </c>
      <c r="N67" s="45">
        <f t="shared" si="24"/>
        <v>772.81</v>
      </c>
    </row>
    <row r="68" spans="2:14" ht="15.75" thickBot="1" x14ac:dyDescent="0.3">
      <c r="B68" s="141"/>
      <c r="C68" s="34"/>
      <c r="D68" s="20" t="s">
        <v>12</v>
      </c>
      <c r="E68" s="21"/>
      <c r="F68" s="48"/>
      <c r="G68" s="22">
        <f t="shared" ref="G68:N68" si="25">G58+G67</f>
        <v>49.942999999999998</v>
      </c>
      <c r="H68" s="49">
        <f t="shared" si="25"/>
        <v>55.844999999999999</v>
      </c>
      <c r="I68" s="22">
        <f t="shared" si="25"/>
        <v>43.96</v>
      </c>
      <c r="J68" s="49">
        <f t="shared" si="25"/>
        <v>48.96</v>
      </c>
      <c r="K68" s="22">
        <f t="shared" si="25"/>
        <v>130.71100000000001</v>
      </c>
      <c r="L68" s="49">
        <f t="shared" si="25"/>
        <v>140.785</v>
      </c>
      <c r="M68" s="22">
        <f t="shared" si="25"/>
        <v>1118.2559999999999</v>
      </c>
      <c r="N68" s="51">
        <f t="shared" si="25"/>
        <v>1227.1599999999999</v>
      </c>
    </row>
    <row r="69" spans="2:14" ht="15.75" x14ac:dyDescent="0.25">
      <c r="B69" s="142" t="s">
        <v>18</v>
      </c>
      <c r="C69" s="142"/>
      <c r="D69" s="142"/>
      <c r="E69" s="142"/>
      <c r="H69" s="17"/>
    </row>
    <row r="70" spans="2:14" x14ac:dyDescent="0.25">
      <c r="H70" s="1"/>
    </row>
    <row r="74" spans="2:14" x14ac:dyDescent="0.25">
      <c r="D74" s="12" t="s">
        <v>27</v>
      </c>
    </row>
    <row r="83" spans="6:10" x14ac:dyDescent="0.25">
      <c r="F83" s="1"/>
    </row>
    <row r="91" spans="6:10" x14ac:dyDescent="0.25">
      <c r="J91" s="1"/>
    </row>
  </sheetData>
  <mergeCells count="25">
    <mergeCell ref="C3:G3"/>
    <mergeCell ref="C5:F5"/>
    <mergeCell ref="D14:M14"/>
    <mergeCell ref="D15:M15"/>
    <mergeCell ref="C42:N42"/>
    <mergeCell ref="C20:N20"/>
    <mergeCell ref="C26:N26"/>
    <mergeCell ref="C36:N36"/>
    <mergeCell ref="C17:C19"/>
    <mergeCell ref="D17:D19"/>
    <mergeCell ref="E17:F18"/>
    <mergeCell ref="G17:L17"/>
    <mergeCell ref="M17:N18"/>
    <mergeCell ref="G18:H18"/>
    <mergeCell ref="I18:J18"/>
    <mergeCell ref="K18:L18"/>
    <mergeCell ref="B13:N13"/>
    <mergeCell ref="B12:N12"/>
    <mergeCell ref="C59:N59"/>
    <mergeCell ref="B54:B68"/>
    <mergeCell ref="B69:E69"/>
    <mergeCell ref="B17:B19"/>
    <mergeCell ref="B20:B35"/>
    <mergeCell ref="B36:B53"/>
    <mergeCell ref="C54:N54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61"/>
  <sheetViews>
    <sheetView view="pageLayout" topLeftCell="A49" zoomScale="90" zoomScaleNormal="100" zoomScalePageLayoutView="90" workbookViewId="0">
      <selection activeCell="C16" sqref="C16:N16"/>
    </sheetView>
  </sheetViews>
  <sheetFormatPr defaultRowHeight="15" x14ac:dyDescent="0.25"/>
  <cols>
    <col min="1" max="1" width="6.5703125" style="14" customWidth="1"/>
    <col min="2" max="2" width="2.7109375" style="14" customWidth="1"/>
    <col min="3" max="3" width="10.5703125" style="14" customWidth="1"/>
    <col min="4" max="4" width="35.28515625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3.25" customHeight="1" x14ac:dyDescent="0.25"/>
    <row r="2" spans="2:26" ht="16.5" customHeight="1" thickBot="1" x14ac:dyDescent="0.3">
      <c r="B2" s="142" t="s">
        <v>18</v>
      </c>
      <c r="C2" s="142"/>
      <c r="D2" s="142"/>
      <c r="E2" s="142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143" t="s">
        <v>70</v>
      </c>
      <c r="C3" s="156" t="s">
        <v>0</v>
      </c>
      <c r="D3" s="159" t="s">
        <v>1</v>
      </c>
      <c r="E3" s="162" t="s">
        <v>6</v>
      </c>
      <c r="F3" s="163"/>
      <c r="G3" s="166" t="s">
        <v>7</v>
      </c>
      <c r="H3" s="166"/>
      <c r="I3" s="166"/>
      <c r="J3" s="166"/>
      <c r="K3" s="166"/>
      <c r="L3" s="166"/>
      <c r="M3" s="167" t="s">
        <v>5</v>
      </c>
      <c r="N3" s="168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144"/>
      <c r="C4" s="157"/>
      <c r="D4" s="160"/>
      <c r="E4" s="164"/>
      <c r="F4" s="165"/>
      <c r="G4" s="171" t="s">
        <v>3</v>
      </c>
      <c r="H4" s="171"/>
      <c r="I4" s="169" t="s">
        <v>2</v>
      </c>
      <c r="J4" s="169"/>
      <c r="K4" s="171" t="s">
        <v>4</v>
      </c>
      <c r="L4" s="171"/>
      <c r="M4" s="169"/>
      <c r="N4" s="17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145"/>
      <c r="C5" s="158"/>
      <c r="D5" s="161"/>
      <c r="E5" s="36" t="s">
        <v>15</v>
      </c>
      <c r="F5" s="37" t="s">
        <v>76</v>
      </c>
      <c r="G5" s="36" t="s">
        <v>15</v>
      </c>
      <c r="H5" s="37" t="s">
        <v>76</v>
      </c>
      <c r="I5" s="36" t="s">
        <v>15</v>
      </c>
      <c r="J5" s="37" t="s">
        <v>76</v>
      </c>
      <c r="K5" s="36" t="s">
        <v>15</v>
      </c>
      <c r="L5" s="37" t="s">
        <v>76</v>
      </c>
      <c r="M5" s="36" t="s">
        <v>15</v>
      </c>
      <c r="N5" s="38" t="s">
        <v>76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139" t="s">
        <v>80</v>
      </c>
      <c r="C6" s="149" t="s">
        <v>8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140"/>
      <c r="C7" s="23" t="s">
        <v>165</v>
      </c>
      <c r="D7" s="8" t="s">
        <v>26</v>
      </c>
      <c r="E7" s="62">
        <v>150</v>
      </c>
      <c r="F7" s="40">
        <v>200</v>
      </c>
      <c r="G7" s="30">
        <f>E7*3.4/100</f>
        <v>5.0999999999999996</v>
      </c>
      <c r="H7" s="42">
        <f>F7*3.4/100</f>
        <v>6.8</v>
      </c>
      <c r="I7" s="30">
        <f>E7*4.5/100</f>
        <v>6.75</v>
      </c>
      <c r="J7" s="42">
        <f>F7*4.5/100</f>
        <v>9</v>
      </c>
      <c r="K7" s="30">
        <f>E7*16.6/100</f>
        <v>24.9</v>
      </c>
      <c r="L7" s="42">
        <f>F7*16.6/100</f>
        <v>33.200000000000003</v>
      </c>
      <c r="M7" s="30">
        <f t="shared" ref="M7:N9" si="0">G7*4+I7*9+K7*4</f>
        <v>180.75</v>
      </c>
      <c r="N7" s="44">
        <f t="shared" si="0"/>
        <v>241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140"/>
      <c r="C8" s="29" t="s">
        <v>208</v>
      </c>
      <c r="D8" s="6" t="s">
        <v>209</v>
      </c>
      <c r="E8" s="90">
        <v>30</v>
      </c>
      <c r="F8" s="91">
        <v>40</v>
      </c>
      <c r="G8" s="30">
        <f>E8*7.6/100</f>
        <v>2.2799999999999998</v>
      </c>
      <c r="H8" s="42">
        <f>F8*7.6/100</f>
        <v>3.04</v>
      </c>
      <c r="I8" s="30">
        <f>E8*0.8/100</f>
        <v>0.24</v>
      </c>
      <c r="J8" s="42">
        <f>F8*0.8/100</f>
        <v>0.32</v>
      </c>
      <c r="K8" s="30">
        <f>E8*49.2/100</f>
        <v>14.76</v>
      </c>
      <c r="L8" s="42">
        <f>F8*49.2/100</f>
        <v>19.68</v>
      </c>
      <c r="M8" s="30">
        <f t="shared" si="0"/>
        <v>70.319999999999993</v>
      </c>
      <c r="N8" s="44">
        <f t="shared" si="0"/>
        <v>93.759999999999991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140"/>
      <c r="C9" s="66" t="s">
        <v>215</v>
      </c>
      <c r="D9" s="64" t="s">
        <v>216</v>
      </c>
      <c r="E9" s="84">
        <v>10</v>
      </c>
      <c r="F9" s="65">
        <v>10</v>
      </c>
      <c r="G9" s="30">
        <f>E9*0.8/100</f>
        <v>0.08</v>
      </c>
      <c r="H9" s="42">
        <f>F9*0.8/100</f>
        <v>0.08</v>
      </c>
      <c r="I9" s="30">
        <f>E9*72.5/100</f>
        <v>7.25</v>
      </c>
      <c r="J9" s="42">
        <f>F9*72.5/100</f>
        <v>7.25</v>
      </c>
      <c r="K9" s="30">
        <f>E9*1.3/100</f>
        <v>0.13</v>
      </c>
      <c r="L9" s="42">
        <f>F9*1.3/100</f>
        <v>0.13</v>
      </c>
      <c r="M9" s="30">
        <f t="shared" si="0"/>
        <v>66.089999999999989</v>
      </c>
      <c r="N9" s="44">
        <f t="shared" si="0"/>
        <v>66.089999999999989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140"/>
      <c r="C10" s="33" t="s">
        <v>135</v>
      </c>
      <c r="D10" s="9" t="s">
        <v>136</v>
      </c>
      <c r="E10" s="62">
        <v>200</v>
      </c>
      <c r="F10" s="40">
        <v>200</v>
      </c>
      <c r="G10" s="30">
        <f>E10*1.65/100</f>
        <v>3.3</v>
      </c>
      <c r="H10" s="42">
        <f>F10*1.65/100</f>
        <v>3.3</v>
      </c>
      <c r="I10" s="30">
        <f>E10*1.45/100</f>
        <v>2.9</v>
      </c>
      <c r="J10" s="42">
        <f>F10*1.45/100</f>
        <v>2.9</v>
      </c>
      <c r="K10" s="30">
        <f>E10*6.9/100</f>
        <v>13.8</v>
      </c>
      <c r="L10" s="42">
        <f>F10*6.9/100</f>
        <v>13.8</v>
      </c>
      <c r="M10" s="30">
        <f t="shared" ref="M10:N11" si="1">G10*4+I10*9+K10*4</f>
        <v>94.5</v>
      </c>
      <c r="N10" s="44">
        <f t="shared" si="1"/>
        <v>94.5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140"/>
      <c r="C11" s="35"/>
      <c r="D11" s="4" t="s">
        <v>13</v>
      </c>
      <c r="E11" s="32">
        <f t="shared" ref="E11:L11" si="2">SUM(E7:E10)</f>
        <v>390</v>
      </c>
      <c r="F11" s="41">
        <f t="shared" si="2"/>
        <v>450</v>
      </c>
      <c r="G11" s="7">
        <f t="shared" si="2"/>
        <v>10.759999999999998</v>
      </c>
      <c r="H11" s="43">
        <f t="shared" si="2"/>
        <v>13.219999999999999</v>
      </c>
      <c r="I11" s="7">
        <f t="shared" si="2"/>
        <v>17.14</v>
      </c>
      <c r="J11" s="43">
        <f t="shared" si="2"/>
        <v>19.47</v>
      </c>
      <c r="K11" s="7">
        <f t="shared" si="2"/>
        <v>53.59</v>
      </c>
      <c r="L11" s="43">
        <f t="shared" si="2"/>
        <v>66.81</v>
      </c>
      <c r="M11" s="7">
        <f t="shared" si="1"/>
        <v>411.65999999999997</v>
      </c>
      <c r="N11" s="45">
        <f t="shared" si="1"/>
        <v>495.35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140"/>
      <c r="C12" s="172" t="s">
        <v>9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140"/>
      <c r="C13" s="23" t="s">
        <v>182</v>
      </c>
      <c r="D13" s="9" t="s">
        <v>183</v>
      </c>
      <c r="E13" s="80">
        <v>60</v>
      </c>
      <c r="F13" s="52">
        <v>100</v>
      </c>
      <c r="G13" s="31">
        <f>E13*1/100</f>
        <v>0.6</v>
      </c>
      <c r="H13" s="53">
        <f>F13*1/100</f>
        <v>1</v>
      </c>
      <c r="I13" s="31">
        <f>E13*6/100</f>
        <v>3.6</v>
      </c>
      <c r="J13" s="53">
        <f>F13*6/100</f>
        <v>6</v>
      </c>
      <c r="K13" s="31">
        <f>E13*3.1/100</f>
        <v>1.86</v>
      </c>
      <c r="L13" s="53">
        <f>F13*3.1/100</f>
        <v>3.1</v>
      </c>
      <c r="M13" s="31">
        <f t="shared" ref="M13:N16" si="3">G13*4+I13*9+K13*4</f>
        <v>42.239999999999995</v>
      </c>
      <c r="N13" s="50">
        <f t="shared" si="3"/>
        <v>70.400000000000006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140"/>
      <c r="C14" s="23" t="s">
        <v>223</v>
      </c>
      <c r="D14" s="9" t="s">
        <v>224</v>
      </c>
      <c r="E14" s="85">
        <v>200</v>
      </c>
      <c r="F14" s="52">
        <v>250</v>
      </c>
      <c r="G14" s="31">
        <f>E14*3.72/100</f>
        <v>7.44</v>
      </c>
      <c r="H14" s="53">
        <f>F14*3.72/100</f>
        <v>9.3000000000000007</v>
      </c>
      <c r="I14" s="31">
        <f>E14*4.56/100</f>
        <v>9.1199999999999992</v>
      </c>
      <c r="J14" s="53">
        <f>F14*4.56/100</f>
        <v>11.4</v>
      </c>
      <c r="K14" s="31">
        <f>E14*4.02/100</f>
        <v>8.0399999999999991</v>
      </c>
      <c r="L14" s="53">
        <f>F14*4.02/100</f>
        <v>10.049999999999999</v>
      </c>
      <c r="M14" s="31">
        <f t="shared" si="3"/>
        <v>144</v>
      </c>
      <c r="N14" s="50">
        <f t="shared" si="3"/>
        <v>180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140"/>
      <c r="C15" s="23" t="s">
        <v>226</v>
      </c>
      <c r="D15" s="9" t="s">
        <v>227</v>
      </c>
      <c r="E15" s="84">
        <v>230</v>
      </c>
      <c r="F15" s="40">
        <v>250</v>
      </c>
      <c r="G15" s="30">
        <f>E15*5.7/100</f>
        <v>13.11</v>
      </c>
      <c r="H15" s="42">
        <f>F15*5.7/100</f>
        <v>14.25</v>
      </c>
      <c r="I15" s="30">
        <f>E15*9.45/100</f>
        <v>21.734999999999999</v>
      </c>
      <c r="J15" s="42">
        <f>F15*9.45/100</f>
        <v>23.625</v>
      </c>
      <c r="K15" s="30">
        <f>E15*9.4/100</f>
        <v>21.62</v>
      </c>
      <c r="L15" s="42">
        <f>F15*9.4/100</f>
        <v>23.5</v>
      </c>
      <c r="M15" s="30">
        <f t="shared" si="3"/>
        <v>334.53500000000003</v>
      </c>
      <c r="N15" s="44">
        <f t="shared" si="3"/>
        <v>363.625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140"/>
      <c r="C16" s="29" t="s">
        <v>211</v>
      </c>
      <c r="D16" s="6" t="s">
        <v>212</v>
      </c>
      <c r="E16" s="84">
        <v>200</v>
      </c>
      <c r="F16" s="40">
        <v>200</v>
      </c>
      <c r="G16" s="30">
        <f>E16*0.15/100</f>
        <v>0.3</v>
      </c>
      <c r="H16" s="42">
        <f>F16*0.15/100</f>
        <v>0.3</v>
      </c>
      <c r="I16" s="30">
        <f>E16*0.005/100</f>
        <v>0.01</v>
      </c>
      <c r="J16" s="42">
        <f>F16*0.005/100</f>
        <v>0.01</v>
      </c>
      <c r="K16" s="30">
        <f>E16*8.75/100</f>
        <v>17.5</v>
      </c>
      <c r="L16" s="42">
        <f>F16*8.75/100</f>
        <v>17.5</v>
      </c>
      <c r="M16" s="30">
        <f t="shared" si="3"/>
        <v>71.290000000000006</v>
      </c>
      <c r="N16" s="44">
        <f t="shared" si="3"/>
        <v>71.290000000000006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9" customFormat="1" x14ac:dyDescent="0.25">
      <c r="B17" s="140"/>
      <c r="C17" s="29" t="s">
        <v>67</v>
      </c>
      <c r="D17" s="6" t="s">
        <v>133</v>
      </c>
      <c r="E17" s="62">
        <v>100</v>
      </c>
      <c r="F17" s="40">
        <v>100</v>
      </c>
      <c r="G17" s="30">
        <v>0.4</v>
      </c>
      <c r="H17" s="42">
        <v>0.4</v>
      </c>
      <c r="I17" s="30">
        <v>0.4</v>
      </c>
      <c r="J17" s="42">
        <v>0.4</v>
      </c>
      <c r="K17" s="30">
        <v>9.8000000000000007</v>
      </c>
      <c r="L17" s="42">
        <v>9.8000000000000007</v>
      </c>
      <c r="M17" s="30">
        <f t="shared" ref="M17:N19" si="4">G17*4+I17*9+K17*4</f>
        <v>44.400000000000006</v>
      </c>
      <c r="N17" s="44">
        <f t="shared" si="4"/>
        <v>44.400000000000006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140"/>
      <c r="C18" s="29" t="s">
        <v>210</v>
      </c>
      <c r="D18" s="6" t="s">
        <v>24</v>
      </c>
      <c r="E18" s="90">
        <v>20</v>
      </c>
      <c r="F18" s="91">
        <v>20</v>
      </c>
      <c r="G18" s="30">
        <f>E18*8/100</f>
        <v>1.6</v>
      </c>
      <c r="H18" s="42">
        <f>F18*8/100</f>
        <v>1.6</v>
      </c>
      <c r="I18" s="30">
        <f>E18*1.5/100</f>
        <v>0.3</v>
      </c>
      <c r="J18" s="42">
        <f>F18*1.5/100</f>
        <v>0.3</v>
      </c>
      <c r="K18" s="30">
        <f>E18*40.1/100</f>
        <v>8.02</v>
      </c>
      <c r="L18" s="42">
        <f>F18*40.1/100</f>
        <v>8.02</v>
      </c>
      <c r="M18" s="30">
        <f t="shared" si="4"/>
        <v>41.18</v>
      </c>
      <c r="N18" s="44">
        <f t="shared" si="4"/>
        <v>41.18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140"/>
      <c r="C19" s="29" t="s">
        <v>208</v>
      </c>
      <c r="D19" s="6" t="s">
        <v>209</v>
      </c>
      <c r="E19" s="90">
        <v>40</v>
      </c>
      <c r="F19" s="91">
        <v>40</v>
      </c>
      <c r="G19" s="30">
        <f>E19*7.6/100</f>
        <v>3.04</v>
      </c>
      <c r="H19" s="42">
        <f>F19*7.6/100</f>
        <v>3.04</v>
      </c>
      <c r="I19" s="30">
        <f>E19*0.8/100</f>
        <v>0.32</v>
      </c>
      <c r="J19" s="42">
        <f>F19*0.8/100</f>
        <v>0.32</v>
      </c>
      <c r="K19" s="30">
        <f>E19*49.2/100</f>
        <v>19.68</v>
      </c>
      <c r="L19" s="42">
        <f>F19*49.2/100</f>
        <v>19.68</v>
      </c>
      <c r="M19" s="30">
        <f t="shared" si="4"/>
        <v>93.759999999999991</v>
      </c>
      <c r="N19" s="44">
        <f t="shared" si="4"/>
        <v>93.759999999999991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140"/>
      <c r="C20" s="29"/>
      <c r="D20" s="4" t="s">
        <v>14</v>
      </c>
      <c r="E20" s="32">
        <f t="shared" ref="E20:N20" si="5">SUM(E13:E19)</f>
        <v>850</v>
      </c>
      <c r="F20" s="47">
        <f t="shared" si="5"/>
        <v>960</v>
      </c>
      <c r="G20" s="7">
        <f t="shared" si="5"/>
        <v>26.49</v>
      </c>
      <c r="H20" s="43">
        <f t="shared" si="5"/>
        <v>29.89</v>
      </c>
      <c r="I20" s="32">
        <f t="shared" si="5"/>
        <v>35.484999999999992</v>
      </c>
      <c r="J20" s="43">
        <f t="shared" si="5"/>
        <v>42.054999999999993</v>
      </c>
      <c r="K20" s="32">
        <f t="shared" si="5"/>
        <v>86.519999999999982</v>
      </c>
      <c r="L20" s="43">
        <f t="shared" si="5"/>
        <v>91.65</v>
      </c>
      <c r="M20" s="7">
        <f t="shared" si="5"/>
        <v>771.40499999999997</v>
      </c>
      <c r="N20" s="45">
        <f t="shared" si="5"/>
        <v>864.65499999999986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5.75" thickBot="1" x14ac:dyDescent="0.3">
      <c r="B21" s="141"/>
      <c r="C21" s="34"/>
      <c r="D21" s="20" t="s">
        <v>12</v>
      </c>
      <c r="E21" s="21"/>
      <c r="F21" s="48"/>
      <c r="G21" s="22">
        <f t="shared" ref="G21:N21" si="6">G11+G20</f>
        <v>37.25</v>
      </c>
      <c r="H21" s="49">
        <f t="shared" si="6"/>
        <v>43.11</v>
      </c>
      <c r="I21" s="22">
        <f t="shared" si="6"/>
        <v>52.624999999999993</v>
      </c>
      <c r="J21" s="49">
        <f t="shared" si="6"/>
        <v>61.524999999999991</v>
      </c>
      <c r="K21" s="22">
        <f t="shared" si="6"/>
        <v>140.10999999999999</v>
      </c>
      <c r="L21" s="49">
        <f t="shared" si="6"/>
        <v>158.46</v>
      </c>
      <c r="M21" s="22">
        <f t="shared" si="6"/>
        <v>1183.0650000000001</v>
      </c>
      <c r="N21" s="51">
        <f t="shared" si="6"/>
        <v>1360.0049999999999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139" t="s">
        <v>82</v>
      </c>
      <c r="C22" s="149" t="s">
        <v>8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1"/>
    </row>
    <row r="23" spans="2:26" x14ac:dyDescent="0.25">
      <c r="B23" s="140"/>
      <c r="C23" s="23" t="s">
        <v>166</v>
      </c>
      <c r="D23" s="9" t="s">
        <v>25</v>
      </c>
      <c r="E23" s="62">
        <v>150</v>
      </c>
      <c r="F23" s="39">
        <v>200</v>
      </c>
      <c r="G23" s="30">
        <f>E23*3.4/100</f>
        <v>5.0999999999999996</v>
      </c>
      <c r="H23" s="42">
        <f>F23*3.4/100</f>
        <v>6.8</v>
      </c>
      <c r="I23" s="30">
        <f>E23*4.1/100</f>
        <v>6.15</v>
      </c>
      <c r="J23" s="42">
        <f>F23*4.1/100</f>
        <v>8.1999999999999993</v>
      </c>
      <c r="K23" s="30">
        <f>E23*20.6/100</f>
        <v>30.9</v>
      </c>
      <c r="L23" s="42">
        <f>F23*20.6/100</f>
        <v>41.2</v>
      </c>
      <c r="M23" s="62">
        <f t="shared" ref="M23:N26" si="7">G23*4+I23*9+K23*4</f>
        <v>199.35</v>
      </c>
      <c r="N23" s="44">
        <f t="shared" si="7"/>
        <v>265.8</v>
      </c>
    </row>
    <row r="24" spans="2:26" x14ac:dyDescent="0.25">
      <c r="B24" s="140"/>
      <c r="C24" s="29" t="s">
        <v>208</v>
      </c>
      <c r="D24" s="6" t="s">
        <v>209</v>
      </c>
      <c r="E24" s="90">
        <v>30</v>
      </c>
      <c r="F24" s="91">
        <v>40</v>
      </c>
      <c r="G24" s="30">
        <f>E24*7.6/100</f>
        <v>2.2799999999999998</v>
      </c>
      <c r="H24" s="42">
        <f>F24*7.6/100</f>
        <v>3.04</v>
      </c>
      <c r="I24" s="30">
        <f>E24*0.8/100</f>
        <v>0.24</v>
      </c>
      <c r="J24" s="42">
        <f>F24*0.8/100</f>
        <v>0.32</v>
      </c>
      <c r="K24" s="30">
        <f>E24*49.2/100</f>
        <v>14.76</v>
      </c>
      <c r="L24" s="42">
        <f>F24*49.2/100</f>
        <v>19.68</v>
      </c>
      <c r="M24" s="30">
        <f t="shared" si="7"/>
        <v>70.319999999999993</v>
      </c>
      <c r="N24" s="44">
        <f t="shared" si="7"/>
        <v>93.759999999999991</v>
      </c>
    </row>
    <row r="25" spans="2:26" x14ac:dyDescent="0.25">
      <c r="B25" s="140"/>
      <c r="C25" s="66" t="s">
        <v>213</v>
      </c>
      <c r="D25" s="64" t="s">
        <v>214</v>
      </c>
      <c r="E25" s="84">
        <v>10</v>
      </c>
      <c r="F25" s="65">
        <v>10</v>
      </c>
      <c r="G25" s="30">
        <f>E25*23.2/100</f>
        <v>2.3199999999999998</v>
      </c>
      <c r="H25" s="42">
        <f>F25*23.2/100</f>
        <v>2.3199999999999998</v>
      </c>
      <c r="I25" s="30">
        <f>E25*29.5/100</f>
        <v>2.95</v>
      </c>
      <c r="J25" s="42">
        <f>F25*29.5/100</f>
        <v>2.95</v>
      </c>
      <c r="K25" s="30">
        <f>E25*0/100</f>
        <v>0</v>
      </c>
      <c r="L25" s="42">
        <f>F25*0/100</f>
        <v>0</v>
      </c>
      <c r="M25" s="30">
        <f t="shared" si="7"/>
        <v>35.83</v>
      </c>
      <c r="N25" s="44">
        <f t="shared" si="7"/>
        <v>35.83</v>
      </c>
    </row>
    <row r="26" spans="2:26" s="19" customFormat="1" x14ac:dyDescent="0.25">
      <c r="B26" s="140"/>
      <c r="C26" s="29" t="s">
        <v>78</v>
      </c>
      <c r="D26" s="6" t="s">
        <v>11</v>
      </c>
      <c r="E26" s="84">
        <v>200</v>
      </c>
      <c r="F26" s="40">
        <v>200</v>
      </c>
      <c r="G26" s="30">
        <f>E26*0.3/200</f>
        <v>0.3</v>
      </c>
      <c r="H26" s="42">
        <f>F26*0.3/200</f>
        <v>0.3</v>
      </c>
      <c r="I26" s="30">
        <f t="shared" ref="I26:J26" si="8">E26*0.1/200</f>
        <v>0.1</v>
      </c>
      <c r="J26" s="42">
        <f t="shared" si="8"/>
        <v>0.1</v>
      </c>
      <c r="K26" s="30">
        <f>E26*9.5/200</f>
        <v>9.5</v>
      </c>
      <c r="L26" s="42">
        <f>F26*9.5/200</f>
        <v>9.5</v>
      </c>
      <c r="M26" s="30">
        <f t="shared" si="7"/>
        <v>40.1</v>
      </c>
      <c r="N26" s="44">
        <f t="shared" si="7"/>
        <v>40.1</v>
      </c>
    </row>
    <row r="27" spans="2:26" x14ac:dyDescent="0.25">
      <c r="B27" s="140"/>
      <c r="C27" s="35"/>
      <c r="D27" s="4" t="s">
        <v>13</v>
      </c>
      <c r="E27" s="32">
        <f t="shared" ref="E27:L27" si="9">SUM(E23:E26)</f>
        <v>390</v>
      </c>
      <c r="F27" s="41">
        <f t="shared" si="9"/>
        <v>450</v>
      </c>
      <c r="G27" s="7">
        <f t="shared" si="9"/>
        <v>10</v>
      </c>
      <c r="H27" s="43">
        <f t="shared" si="9"/>
        <v>12.46</v>
      </c>
      <c r="I27" s="7">
        <f t="shared" si="9"/>
        <v>9.44</v>
      </c>
      <c r="J27" s="43">
        <f t="shared" si="9"/>
        <v>11.569999999999999</v>
      </c>
      <c r="K27" s="7">
        <f t="shared" si="9"/>
        <v>55.16</v>
      </c>
      <c r="L27" s="43">
        <f t="shared" si="9"/>
        <v>70.38</v>
      </c>
      <c r="M27" s="7">
        <f t="shared" ref="M27:N27" si="10">G27*4+I27*9+K27*4</f>
        <v>345.59999999999997</v>
      </c>
      <c r="N27" s="45">
        <f t="shared" si="10"/>
        <v>435.48999999999995</v>
      </c>
    </row>
    <row r="28" spans="2:26" x14ac:dyDescent="0.25">
      <c r="B28" s="140"/>
      <c r="C28" s="172" t="s">
        <v>9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4"/>
    </row>
    <row r="29" spans="2:26" x14ac:dyDescent="0.25">
      <c r="B29" s="140"/>
      <c r="C29" s="23" t="s">
        <v>186</v>
      </c>
      <c r="D29" s="9" t="s">
        <v>187</v>
      </c>
      <c r="E29" s="80">
        <v>60</v>
      </c>
      <c r="F29" s="52">
        <v>100</v>
      </c>
      <c r="G29" s="31">
        <f>E29*1.4/100</f>
        <v>0.84</v>
      </c>
      <c r="H29" s="53">
        <f>F29*1.4/100</f>
        <v>1.4</v>
      </c>
      <c r="I29" s="31">
        <f>E29*6.1/100</f>
        <v>3.66</v>
      </c>
      <c r="J29" s="53">
        <f>F29*6.1/100</f>
        <v>6.1</v>
      </c>
      <c r="K29" s="31">
        <f>E29*7.5/100</f>
        <v>4.5</v>
      </c>
      <c r="L29" s="53">
        <f>F29*7.5/100</f>
        <v>7.5</v>
      </c>
      <c r="M29" s="31">
        <f t="shared" ref="M29:N30" si="11">G29*4+I29*9+K29*4</f>
        <v>54.3</v>
      </c>
      <c r="N29" s="50">
        <f t="shared" si="11"/>
        <v>90.5</v>
      </c>
    </row>
    <row r="30" spans="2:26" s="19" customFormat="1" x14ac:dyDescent="0.25">
      <c r="B30" s="140"/>
      <c r="C30" s="23" t="s">
        <v>129</v>
      </c>
      <c r="D30" s="9" t="s">
        <v>130</v>
      </c>
      <c r="E30" s="79">
        <v>200</v>
      </c>
      <c r="F30" s="46">
        <v>250</v>
      </c>
      <c r="G30" s="30">
        <v>1.81</v>
      </c>
      <c r="H30" s="42">
        <v>2.23</v>
      </c>
      <c r="I30" s="30">
        <v>4.8499999999999996</v>
      </c>
      <c r="J30" s="42">
        <v>5.88</v>
      </c>
      <c r="K30" s="30">
        <v>13.46</v>
      </c>
      <c r="L30" s="42">
        <v>16.78</v>
      </c>
      <c r="M30" s="30">
        <f t="shared" si="11"/>
        <v>104.73</v>
      </c>
      <c r="N30" s="44">
        <f t="shared" si="11"/>
        <v>128.96</v>
      </c>
    </row>
    <row r="31" spans="2:26" s="19" customFormat="1" x14ac:dyDescent="0.25">
      <c r="B31" s="140"/>
      <c r="C31" s="29" t="s">
        <v>50</v>
      </c>
      <c r="D31" s="6" t="s">
        <v>10</v>
      </c>
      <c r="E31" s="62">
        <v>150</v>
      </c>
      <c r="F31" s="40">
        <v>180</v>
      </c>
      <c r="G31" s="30">
        <f>E31*3.5/100</f>
        <v>5.25</v>
      </c>
      <c r="H31" s="42">
        <f>F31*3.5/100</f>
        <v>6.3</v>
      </c>
      <c r="I31" s="62">
        <f>E31*4.1/100</f>
        <v>6.15</v>
      </c>
      <c r="J31" s="42">
        <f>F31*4.1/100</f>
        <v>7.379999999999999</v>
      </c>
      <c r="K31" s="30">
        <f>E31*23.5/100</f>
        <v>35.25</v>
      </c>
      <c r="L31" s="42">
        <f>F31*23.5/100</f>
        <v>42.3</v>
      </c>
      <c r="M31" s="30">
        <f t="shared" ref="M31:N36" si="12">G31*4+I31*9+K31*4</f>
        <v>217.35</v>
      </c>
      <c r="N31" s="44">
        <f t="shared" si="12"/>
        <v>260.82</v>
      </c>
    </row>
    <row r="32" spans="2:26" x14ac:dyDescent="0.25">
      <c r="B32" s="140"/>
      <c r="C32" s="33" t="s">
        <v>54</v>
      </c>
      <c r="D32" s="9" t="s">
        <v>55</v>
      </c>
      <c r="E32" s="79">
        <v>90</v>
      </c>
      <c r="F32" s="40">
        <v>100</v>
      </c>
      <c r="G32" s="30">
        <f>E32*13.5/100</f>
        <v>12.15</v>
      </c>
      <c r="H32" s="42">
        <f>F32*13.5/100</f>
        <v>13.5</v>
      </c>
      <c r="I32" s="30">
        <f>E32*21/100</f>
        <v>18.899999999999999</v>
      </c>
      <c r="J32" s="42">
        <f>F32*21/100</f>
        <v>21</v>
      </c>
      <c r="K32" s="30">
        <f>E32*9.9/100</f>
        <v>8.91</v>
      </c>
      <c r="L32" s="42">
        <f>F32*9.9/100</f>
        <v>9.9</v>
      </c>
      <c r="M32" s="30">
        <f t="shared" si="12"/>
        <v>254.33999999999997</v>
      </c>
      <c r="N32" s="44">
        <f t="shared" si="12"/>
        <v>282.60000000000002</v>
      </c>
    </row>
    <row r="33" spans="2:14" x14ac:dyDescent="0.25">
      <c r="B33" s="140"/>
      <c r="C33" s="23" t="s">
        <v>149</v>
      </c>
      <c r="D33" s="9" t="s">
        <v>150</v>
      </c>
      <c r="E33" s="79">
        <v>200</v>
      </c>
      <c r="F33" s="40">
        <v>200</v>
      </c>
      <c r="G33" s="30">
        <f>E33*0.05/100</f>
        <v>0.1</v>
      </c>
      <c r="H33" s="42">
        <f>F33*0.05/100</f>
        <v>0.1</v>
      </c>
      <c r="I33" s="30">
        <f>E33*0.05/100</f>
        <v>0.1</v>
      </c>
      <c r="J33" s="42">
        <f>F33*0.05/100</f>
        <v>0.1</v>
      </c>
      <c r="K33" s="30">
        <f>E33*5.55/100</f>
        <v>11.1</v>
      </c>
      <c r="L33" s="42">
        <f>F33*5.55/100</f>
        <v>11.1</v>
      </c>
      <c r="M33" s="30">
        <f t="shared" si="12"/>
        <v>45.699999999999996</v>
      </c>
      <c r="N33" s="44">
        <f t="shared" si="12"/>
        <v>45.699999999999996</v>
      </c>
    </row>
    <row r="34" spans="2:14" s="19" customFormat="1" x14ac:dyDescent="0.25">
      <c r="B34" s="140"/>
      <c r="C34" s="29" t="s">
        <v>67</v>
      </c>
      <c r="D34" s="6" t="s">
        <v>133</v>
      </c>
      <c r="E34" s="62">
        <v>100</v>
      </c>
      <c r="F34" s="40">
        <v>100</v>
      </c>
      <c r="G34" s="30">
        <v>0.4</v>
      </c>
      <c r="H34" s="42">
        <v>0.4</v>
      </c>
      <c r="I34" s="30">
        <v>0.4</v>
      </c>
      <c r="J34" s="42">
        <v>0.4</v>
      </c>
      <c r="K34" s="30">
        <v>9.8000000000000007</v>
      </c>
      <c r="L34" s="42">
        <v>9.8000000000000007</v>
      </c>
      <c r="M34" s="30">
        <f t="shared" si="12"/>
        <v>44.400000000000006</v>
      </c>
      <c r="N34" s="44">
        <f t="shared" si="12"/>
        <v>44.400000000000006</v>
      </c>
    </row>
    <row r="35" spans="2:14" x14ac:dyDescent="0.25">
      <c r="B35" s="140"/>
      <c r="C35" s="29" t="s">
        <v>210</v>
      </c>
      <c r="D35" s="6" t="s">
        <v>24</v>
      </c>
      <c r="E35" s="90">
        <v>20</v>
      </c>
      <c r="F35" s="91">
        <v>20</v>
      </c>
      <c r="G35" s="30">
        <f>E35*8/100</f>
        <v>1.6</v>
      </c>
      <c r="H35" s="42">
        <f>F35*8/100</f>
        <v>1.6</v>
      </c>
      <c r="I35" s="30">
        <f>E35*1.5/100</f>
        <v>0.3</v>
      </c>
      <c r="J35" s="42">
        <f>F35*1.5/100</f>
        <v>0.3</v>
      </c>
      <c r="K35" s="30">
        <f>E35*40.1/100</f>
        <v>8.02</v>
      </c>
      <c r="L35" s="42">
        <f>F35*40.1/100</f>
        <v>8.02</v>
      </c>
      <c r="M35" s="30">
        <f t="shared" si="12"/>
        <v>41.18</v>
      </c>
      <c r="N35" s="44">
        <f t="shared" si="12"/>
        <v>41.18</v>
      </c>
    </row>
    <row r="36" spans="2:14" x14ac:dyDescent="0.25">
      <c r="B36" s="140"/>
      <c r="C36" s="29" t="s">
        <v>208</v>
      </c>
      <c r="D36" s="6" t="s">
        <v>209</v>
      </c>
      <c r="E36" s="90">
        <v>40</v>
      </c>
      <c r="F36" s="91">
        <v>40</v>
      </c>
      <c r="G36" s="30">
        <f>E36*7.6/100</f>
        <v>3.04</v>
      </c>
      <c r="H36" s="42">
        <f>F36*7.6/100</f>
        <v>3.04</v>
      </c>
      <c r="I36" s="30">
        <f>E36*0.8/100</f>
        <v>0.32</v>
      </c>
      <c r="J36" s="42">
        <f>F36*0.8/100</f>
        <v>0.32</v>
      </c>
      <c r="K36" s="30">
        <f>E36*49.2/100</f>
        <v>19.68</v>
      </c>
      <c r="L36" s="42">
        <f>F36*49.2/100</f>
        <v>19.68</v>
      </c>
      <c r="M36" s="30">
        <f t="shared" si="12"/>
        <v>93.759999999999991</v>
      </c>
      <c r="N36" s="44">
        <f t="shared" si="12"/>
        <v>93.759999999999991</v>
      </c>
    </row>
    <row r="37" spans="2:14" x14ac:dyDescent="0.25">
      <c r="B37" s="140"/>
      <c r="C37" s="29"/>
      <c r="D37" s="4" t="s">
        <v>14</v>
      </c>
      <c r="E37" s="32">
        <f t="shared" ref="E37:N37" si="13">SUM(E29:E36)</f>
        <v>860</v>
      </c>
      <c r="F37" s="47">
        <f t="shared" si="13"/>
        <v>990</v>
      </c>
      <c r="G37" s="7">
        <f t="shared" si="13"/>
        <v>25.19</v>
      </c>
      <c r="H37" s="43">
        <f t="shared" si="13"/>
        <v>28.57</v>
      </c>
      <c r="I37" s="32">
        <f t="shared" si="13"/>
        <v>34.68</v>
      </c>
      <c r="J37" s="43">
        <f t="shared" si="13"/>
        <v>41.48</v>
      </c>
      <c r="K37" s="7">
        <f t="shared" si="13"/>
        <v>110.72</v>
      </c>
      <c r="L37" s="43">
        <f t="shared" si="13"/>
        <v>125.07999999999998</v>
      </c>
      <c r="M37" s="7">
        <f t="shared" si="13"/>
        <v>855.76</v>
      </c>
      <c r="N37" s="45">
        <f t="shared" si="13"/>
        <v>987.92</v>
      </c>
    </row>
    <row r="38" spans="2:14" ht="15.75" thickBot="1" x14ac:dyDescent="0.3">
      <c r="B38" s="141"/>
      <c r="C38" s="34"/>
      <c r="D38" s="20" t="s">
        <v>12</v>
      </c>
      <c r="E38" s="21"/>
      <c r="F38" s="21"/>
      <c r="G38" s="22">
        <f t="shared" ref="G38:N38" si="14">G27+G37</f>
        <v>35.19</v>
      </c>
      <c r="H38" s="49">
        <f t="shared" si="14"/>
        <v>41.03</v>
      </c>
      <c r="I38" s="22">
        <f t="shared" si="14"/>
        <v>44.12</v>
      </c>
      <c r="J38" s="49">
        <f t="shared" si="14"/>
        <v>53.05</v>
      </c>
      <c r="K38" s="22">
        <f t="shared" si="14"/>
        <v>165.88</v>
      </c>
      <c r="L38" s="49">
        <f t="shared" si="14"/>
        <v>195.45999999999998</v>
      </c>
      <c r="M38" s="22">
        <f t="shared" si="14"/>
        <v>1201.3599999999999</v>
      </c>
      <c r="N38" s="51">
        <f t="shared" si="14"/>
        <v>1423.4099999999999</v>
      </c>
    </row>
    <row r="39" spans="2:14" x14ac:dyDescent="0.25">
      <c r="B39" s="139" t="s">
        <v>81</v>
      </c>
      <c r="C39" s="149" t="s">
        <v>8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1"/>
    </row>
    <row r="40" spans="2:14" x14ac:dyDescent="0.25">
      <c r="B40" s="140"/>
      <c r="C40" s="23" t="s">
        <v>141</v>
      </c>
      <c r="D40" s="8" t="s">
        <v>19</v>
      </c>
      <c r="E40" s="62">
        <v>150</v>
      </c>
      <c r="F40" s="39">
        <v>200</v>
      </c>
      <c r="G40" s="30">
        <f>E40*3.4/100</f>
        <v>5.0999999999999996</v>
      </c>
      <c r="H40" s="42">
        <f>F40*3.4/100</f>
        <v>6.8</v>
      </c>
      <c r="I40" s="30">
        <f>E40*4.2/100</f>
        <v>6.3</v>
      </c>
      <c r="J40" s="42">
        <f>F40*4.2/100</f>
        <v>8.4</v>
      </c>
      <c r="K40" s="30">
        <f>E40*18.7/100</f>
        <v>28.05</v>
      </c>
      <c r="L40" s="42">
        <f>F40*18.7/100</f>
        <v>37.4</v>
      </c>
      <c r="M40" s="62">
        <f t="shared" ref="M40:N42" si="15">G40*4+I40*9+K40*4</f>
        <v>189.3</v>
      </c>
      <c r="N40" s="44">
        <f t="shared" si="15"/>
        <v>252.4</v>
      </c>
    </row>
    <row r="41" spans="2:14" x14ac:dyDescent="0.25">
      <c r="B41" s="140"/>
      <c r="C41" s="66" t="s">
        <v>215</v>
      </c>
      <c r="D41" s="64" t="s">
        <v>216</v>
      </c>
      <c r="E41" s="88">
        <v>10</v>
      </c>
      <c r="F41" s="65">
        <v>10</v>
      </c>
      <c r="G41" s="30">
        <f>E41*0.8/100</f>
        <v>0.08</v>
      </c>
      <c r="H41" s="42">
        <f>F41*0.8/100</f>
        <v>0.08</v>
      </c>
      <c r="I41" s="30">
        <f>E41*72.5/100</f>
        <v>7.25</v>
      </c>
      <c r="J41" s="42">
        <f>F41*72.5/100</f>
        <v>7.25</v>
      </c>
      <c r="K41" s="30">
        <f>E41*1.3/100</f>
        <v>0.13</v>
      </c>
      <c r="L41" s="42">
        <f>F41*1.3/100</f>
        <v>0.13</v>
      </c>
      <c r="M41" s="30">
        <f t="shared" si="15"/>
        <v>66.089999999999989</v>
      </c>
      <c r="N41" s="44">
        <f t="shared" si="15"/>
        <v>66.089999999999989</v>
      </c>
    </row>
    <row r="42" spans="2:14" x14ac:dyDescent="0.25">
      <c r="B42" s="140"/>
      <c r="C42" s="29" t="s">
        <v>208</v>
      </c>
      <c r="D42" s="6" t="s">
        <v>209</v>
      </c>
      <c r="E42" s="90">
        <v>30</v>
      </c>
      <c r="F42" s="91">
        <v>40</v>
      </c>
      <c r="G42" s="30">
        <f>E42*7.6/100</f>
        <v>2.2799999999999998</v>
      </c>
      <c r="H42" s="42">
        <f>F42*7.6/100</f>
        <v>3.04</v>
      </c>
      <c r="I42" s="30">
        <f>E42*0.8/100</f>
        <v>0.24</v>
      </c>
      <c r="J42" s="42">
        <f>F42*0.8/100</f>
        <v>0.32</v>
      </c>
      <c r="K42" s="30">
        <f>E42*49.2/100</f>
        <v>14.76</v>
      </c>
      <c r="L42" s="42">
        <f>F42*49.2/100</f>
        <v>19.68</v>
      </c>
      <c r="M42" s="30">
        <f t="shared" si="15"/>
        <v>70.319999999999993</v>
      </c>
      <c r="N42" s="44">
        <f t="shared" si="15"/>
        <v>93.759999999999991</v>
      </c>
    </row>
    <row r="43" spans="2:14" x14ac:dyDescent="0.25">
      <c r="B43" s="140"/>
      <c r="C43" s="23" t="s">
        <v>79</v>
      </c>
      <c r="D43" s="9" t="s">
        <v>16</v>
      </c>
      <c r="E43" s="62">
        <v>200</v>
      </c>
      <c r="F43" s="40">
        <v>200</v>
      </c>
      <c r="G43" s="30">
        <f>E43*0.06/180</f>
        <v>6.6666666666666666E-2</v>
      </c>
      <c r="H43" s="42">
        <f>F43*0.06/180</f>
        <v>6.6666666666666666E-2</v>
      </c>
      <c r="I43" s="30">
        <f>E43*0/50</f>
        <v>0</v>
      </c>
      <c r="J43" s="42">
        <f>F43*0/50</f>
        <v>0</v>
      </c>
      <c r="K43" s="30">
        <f>E43*9.99/180</f>
        <v>11.1</v>
      </c>
      <c r="L43" s="42">
        <f>F43*9.99/180</f>
        <v>11.1</v>
      </c>
      <c r="M43" s="30">
        <f t="shared" ref="M43:N44" si="16">G43*4+I43*9+K43*4</f>
        <v>44.666666666666664</v>
      </c>
      <c r="N43" s="44">
        <f t="shared" si="16"/>
        <v>44.666666666666664</v>
      </c>
    </row>
    <row r="44" spans="2:14" x14ac:dyDescent="0.25">
      <c r="B44" s="140"/>
      <c r="C44" s="35"/>
      <c r="D44" s="4" t="s">
        <v>13</v>
      </c>
      <c r="E44" s="32">
        <f t="shared" ref="E44:L44" si="17">SUM(E40:E43)</f>
        <v>390</v>
      </c>
      <c r="F44" s="41">
        <f t="shared" si="17"/>
        <v>450</v>
      </c>
      <c r="G44" s="7">
        <f t="shared" si="17"/>
        <v>7.5266666666666655</v>
      </c>
      <c r="H44" s="43">
        <f t="shared" si="17"/>
        <v>9.9866666666666664</v>
      </c>
      <c r="I44" s="7">
        <f t="shared" si="17"/>
        <v>13.790000000000001</v>
      </c>
      <c r="J44" s="43">
        <f t="shared" si="17"/>
        <v>15.97</v>
      </c>
      <c r="K44" s="7">
        <f t="shared" si="17"/>
        <v>54.04</v>
      </c>
      <c r="L44" s="43">
        <f t="shared" si="17"/>
        <v>68.31</v>
      </c>
      <c r="M44" s="7">
        <f t="shared" si="16"/>
        <v>370.37666666666667</v>
      </c>
      <c r="N44" s="45">
        <f t="shared" ref="N44" si="18">H44*4+J44*9+L44*4</f>
        <v>456.91666666666669</v>
      </c>
    </row>
    <row r="45" spans="2:14" x14ac:dyDescent="0.25">
      <c r="B45" s="140"/>
      <c r="C45" s="172" t="s">
        <v>9</v>
      </c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4"/>
    </row>
    <row r="46" spans="2:14" x14ac:dyDescent="0.25">
      <c r="B46" s="140"/>
      <c r="C46" s="23" t="s">
        <v>67</v>
      </c>
      <c r="D46" s="9" t="s">
        <v>77</v>
      </c>
      <c r="E46" s="61">
        <v>60</v>
      </c>
      <c r="F46" s="52">
        <v>100</v>
      </c>
      <c r="G46" s="31">
        <f>E46*0.7/100</f>
        <v>0.42</v>
      </c>
      <c r="H46" s="53">
        <f>F46*0.7/100</f>
        <v>0.7</v>
      </c>
      <c r="I46" s="31">
        <f>E46*0.1/100</f>
        <v>0.06</v>
      </c>
      <c r="J46" s="53">
        <f>F46*0.1/100</f>
        <v>0.1</v>
      </c>
      <c r="K46" s="31">
        <f>E46*1.9/100</f>
        <v>1.1399999999999999</v>
      </c>
      <c r="L46" s="53">
        <f>F46*1.9/100</f>
        <v>1.9</v>
      </c>
      <c r="M46" s="31">
        <f t="shared" ref="M46:N50" si="19">G46*4+I46*9+K46*4</f>
        <v>6.7799999999999994</v>
      </c>
      <c r="N46" s="50">
        <f t="shared" si="19"/>
        <v>11.299999999999999</v>
      </c>
    </row>
    <row r="47" spans="2:14" x14ac:dyDescent="0.25">
      <c r="B47" s="140"/>
      <c r="C47" s="72" t="s">
        <v>142</v>
      </c>
      <c r="D47" s="73" t="s">
        <v>143</v>
      </c>
      <c r="E47" s="62">
        <v>200</v>
      </c>
      <c r="F47" s="46">
        <v>250</v>
      </c>
      <c r="G47" s="30">
        <f>E47*2.48/100</f>
        <v>4.96</v>
      </c>
      <c r="H47" s="42">
        <f>F47*2.48/100</f>
        <v>6.2</v>
      </c>
      <c r="I47" s="30">
        <f>E47*2.24/100</f>
        <v>4.4800000000000004</v>
      </c>
      <c r="J47" s="42">
        <f>F47*2.24/100</f>
        <v>5.6</v>
      </c>
      <c r="K47" s="30">
        <f>E47*8.92/100</f>
        <v>17.84</v>
      </c>
      <c r="L47" s="42">
        <f>F47*8.92/100</f>
        <v>22.3</v>
      </c>
      <c r="M47" s="30">
        <f t="shared" si="19"/>
        <v>131.52000000000001</v>
      </c>
      <c r="N47" s="44">
        <f>H47*4+J47*9+L47*4</f>
        <v>164.4</v>
      </c>
    </row>
    <row r="48" spans="2:14" x14ac:dyDescent="0.25">
      <c r="B48" s="140"/>
      <c r="C48" s="29" t="s">
        <v>228</v>
      </c>
      <c r="D48" s="6" t="s">
        <v>229</v>
      </c>
      <c r="E48" s="88">
        <v>150</v>
      </c>
      <c r="F48" s="40">
        <v>200</v>
      </c>
      <c r="G48" s="30">
        <f>E48*5.67/100</f>
        <v>8.5050000000000008</v>
      </c>
      <c r="H48" s="42">
        <f>F48*5.67/100</f>
        <v>11.34</v>
      </c>
      <c r="I48" s="30">
        <f>E48*4.24/100</f>
        <v>6.36</v>
      </c>
      <c r="J48" s="42">
        <f>F48*4.24/100</f>
        <v>8.48</v>
      </c>
      <c r="K48" s="30">
        <f>E48*25.13/100</f>
        <v>37.695</v>
      </c>
      <c r="L48" s="42">
        <f>F48*25.13/100</f>
        <v>50.26</v>
      </c>
      <c r="M48" s="30">
        <f t="shared" si="19"/>
        <v>242.04000000000002</v>
      </c>
      <c r="N48" s="44">
        <f t="shared" si="19"/>
        <v>322.72000000000003</v>
      </c>
    </row>
    <row r="49" spans="2:14" x14ac:dyDescent="0.25">
      <c r="B49" s="140"/>
      <c r="C49" s="23" t="s">
        <v>188</v>
      </c>
      <c r="D49" s="9" t="s">
        <v>189</v>
      </c>
      <c r="E49" s="88">
        <v>90</v>
      </c>
      <c r="F49" s="40">
        <v>100</v>
      </c>
      <c r="G49" s="30">
        <f>E49*12/100</f>
        <v>10.8</v>
      </c>
      <c r="H49" s="42">
        <f>F49*12/100</f>
        <v>12</v>
      </c>
      <c r="I49" s="30">
        <f>E49*24/100</f>
        <v>21.6</v>
      </c>
      <c r="J49" s="42">
        <f>F49*24/100</f>
        <v>24</v>
      </c>
      <c r="K49" s="30">
        <f>E49*5/100</f>
        <v>4.5</v>
      </c>
      <c r="L49" s="42">
        <f>F49*5/100</f>
        <v>5</v>
      </c>
      <c r="M49" s="30">
        <f t="shared" si="19"/>
        <v>255.60000000000002</v>
      </c>
      <c r="N49" s="44">
        <f t="shared" si="19"/>
        <v>284</v>
      </c>
    </row>
    <row r="50" spans="2:14" x14ac:dyDescent="0.25">
      <c r="B50" s="140"/>
      <c r="C50" s="23" t="s">
        <v>79</v>
      </c>
      <c r="D50" s="9" t="s">
        <v>16</v>
      </c>
      <c r="E50" s="88">
        <v>200</v>
      </c>
      <c r="F50" s="40">
        <v>200</v>
      </c>
      <c r="G50" s="30">
        <f>E50*0.2/200</f>
        <v>0.2</v>
      </c>
      <c r="H50" s="42">
        <f>F50*0.2/200</f>
        <v>0.2</v>
      </c>
      <c r="I50" s="30">
        <f t="shared" ref="I50:J50" si="20">E50*0.1/200</f>
        <v>0.1</v>
      </c>
      <c r="J50" s="42">
        <f t="shared" si="20"/>
        <v>0.1</v>
      </c>
      <c r="K50" s="30">
        <f>E50*9.3/200</f>
        <v>9.3000000000000007</v>
      </c>
      <c r="L50" s="42">
        <f>F50*9.3/200</f>
        <v>9.3000000000000007</v>
      </c>
      <c r="M50" s="30">
        <f t="shared" si="19"/>
        <v>38.900000000000006</v>
      </c>
      <c r="N50" s="44">
        <f t="shared" si="19"/>
        <v>38.900000000000006</v>
      </c>
    </row>
    <row r="51" spans="2:14" x14ac:dyDescent="0.25">
      <c r="B51" s="140"/>
      <c r="C51" s="29" t="s">
        <v>67</v>
      </c>
      <c r="D51" s="6" t="s">
        <v>133</v>
      </c>
      <c r="E51" s="62">
        <v>100</v>
      </c>
      <c r="F51" s="40">
        <v>100</v>
      </c>
      <c r="G51" s="30">
        <v>0.4</v>
      </c>
      <c r="H51" s="42">
        <v>0.4</v>
      </c>
      <c r="I51" s="30">
        <v>0.4</v>
      </c>
      <c r="J51" s="42">
        <v>0.4</v>
      </c>
      <c r="K51" s="30">
        <v>9.8000000000000007</v>
      </c>
      <c r="L51" s="42">
        <v>9.8000000000000007</v>
      </c>
      <c r="M51" s="30">
        <f t="shared" ref="M51:M53" si="21">G51*4+I51*9+K51*4</f>
        <v>44.400000000000006</v>
      </c>
      <c r="N51" s="44">
        <f t="shared" ref="N51:N53" si="22">H51*4+J51*9+L51*4</f>
        <v>44.400000000000006</v>
      </c>
    </row>
    <row r="52" spans="2:14" x14ac:dyDescent="0.25">
      <c r="B52" s="140"/>
      <c r="C52" s="29" t="s">
        <v>210</v>
      </c>
      <c r="D52" s="6" t="s">
        <v>24</v>
      </c>
      <c r="E52" s="90">
        <v>20</v>
      </c>
      <c r="F52" s="91">
        <v>20</v>
      </c>
      <c r="G52" s="30">
        <f>E52*8/100</f>
        <v>1.6</v>
      </c>
      <c r="H52" s="42">
        <f>F52*8/100</f>
        <v>1.6</v>
      </c>
      <c r="I52" s="30">
        <f>E52*1.5/100</f>
        <v>0.3</v>
      </c>
      <c r="J52" s="42">
        <f>F52*1.5/100</f>
        <v>0.3</v>
      </c>
      <c r="K52" s="30">
        <f>E52*40.1/100</f>
        <v>8.02</v>
      </c>
      <c r="L52" s="42">
        <f>F52*40.1/100</f>
        <v>8.02</v>
      </c>
      <c r="M52" s="30">
        <f t="shared" si="21"/>
        <v>41.18</v>
      </c>
      <c r="N52" s="44">
        <f t="shared" si="22"/>
        <v>41.18</v>
      </c>
    </row>
    <row r="53" spans="2:14" x14ac:dyDescent="0.25">
      <c r="B53" s="140"/>
      <c r="C53" s="29" t="s">
        <v>208</v>
      </c>
      <c r="D53" s="6" t="s">
        <v>209</v>
      </c>
      <c r="E53" s="90">
        <v>40</v>
      </c>
      <c r="F53" s="91">
        <v>40</v>
      </c>
      <c r="G53" s="30">
        <f>E53*7.6/100</f>
        <v>3.04</v>
      </c>
      <c r="H53" s="42">
        <f>F53*7.6/100</f>
        <v>3.04</v>
      </c>
      <c r="I53" s="30">
        <f>E53*0.8/100</f>
        <v>0.32</v>
      </c>
      <c r="J53" s="42">
        <f>F53*0.8/100</f>
        <v>0.32</v>
      </c>
      <c r="K53" s="30">
        <f>E53*49.2/100</f>
        <v>19.68</v>
      </c>
      <c r="L53" s="42">
        <f>F53*49.2/100</f>
        <v>19.68</v>
      </c>
      <c r="M53" s="30">
        <f t="shared" si="21"/>
        <v>93.759999999999991</v>
      </c>
      <c r="N53" s="44">
        <f t="shared" si="22"/>
        <v>93.759999999999991</v>
      </c>
    </row>
    <row r="54" spans="2:14" x14ac:dyDescent="0.25">
      <c r="B54" s="140"/>
      <c r="C54" s="29"/>
      <c r="D54" s="4" t="s">
        <v>14</v>
      </c>
      <c r="E54" s="32">
        <f t="shared" ref="E54:N54" si="23">SUM(E46:E53)</f>
        <v>860</v>
      </c>
      <c r="F54" s="47">
        <f t="shared" si="23"/>
        <v>1010</v>
      </c>
      <c r="G54" s="7">
        <f t="shared" si="23"/>
        <v>29.925000000000001</v>
      </c>
      <c r="H54" s="43">
        <f t="shared" si="23"/>
        <v>35.479999999999997</v>
      </c>
      <c r="I54" s="32">
        <f t="shared" si="23"/>
        <v>33.619999999999997</v>
      </c>
      <c r="J54" s="43">
        <f t="shared" si="23"/>
        <v>39.299999999999997</v>
      </c>
      <c r="K54" s="7">
        <f t="shared" si="23"/>
        <v>107.97499999999999</v>
      </c>
      <c r="L54" s="43">
        <f t="shared" si="23"/>
        <v>126.25999999999999</v>
      </c>
      <c r="M54" s="7">
        <f t="shared" si="23"/>
        <v>854.18</v>
      </c>
      <c r="N54" s="45">
        <f t="shared" si="23"/>
        <v>1000.66</v>
      </c>
    </row>
    <row r="55" spans="2:14" ht="15.75" thickBot="1" x14ac:dyDescent="0.3">
      <c r="B55" s="141"/>
      <c r="C55" s="34"/>
      <c r="D55" s="20" t="s">
        <v>12</v>
      </c>
      <c r="E55" s="21"/>
      <c r="F55" s="21"/>
      <c r="G55" s="22">
        <f t="shared" ref="G55:L55" si="24">G44+G54</f>
        <v>37.451666666666668</v>
      </c>
      <c r="H55" s="49">
        <f t="shared" si="24"/>
        <v>45.466666666666661</v>
      </c>
      <c r="I55" s="22">
        <f t="shared" si="24"/>
        <v>47.41</v>
      </c>
      <c r="J55" s="49">
        <f t="shared" si="24"/>
        <v>55.269999999999996</v>
      </c>
      <c r="K55" s="22">
        <f t="shared" si="24"/>
        <v>162.01499999999999</v>
      </c>
      <c r="L55" s="49">
        <f t="shared" si="24"/>
        <v>194.57</v>
      </c>
      <c r="M55" s="22">
        <f>M44+M54</f>
        <v>1224.5566666666666</v>
      </c>
      <c r="N55" s="51">
        <f>N44+N54</f>
        <v>1457.5766666666666</v>
      </c>
    </row>
    <row r="58" spans="2:14" x14ac:dyDescent="0.25">
      <c r="D58" s="14" t="s">
        <v>27</v>
      </c>
    </row>
    <row r="60" spans="2:14" x14ac:dyDescent="0.25">
      <c r="J60" s="1"/>
    </row>
    <row r="61" spans="2:14" x14ac:dyDescent="0.25">
      <c r="D61" s="14" t="s">
        <v>27</v>
      </c>
    </row>
  </sheetData>
  <mergeCells count="19">
    <mergeCell ref="C39:N39"/>
    <mergeCell ref="B6:B21"/>
    <mergeCell ref="C6:N6"/>
    <mergeCell ref="C12:N12"/>
    <mergeCell ref="B22:B38"/>
    <mergeCell ref="C22:N22"/>
    <mergeCell ref="C28:N28"/>
    <mergeCell ref="B39:B55"/>
    <mergeCell ref="C45:N45"/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</mergeCells>
  <pageMargins left="0.23622047244094491" right="0.23622047244094491" top="0.19685039370078741" bottom="0.19685039370078741" header="0.31496062992125984" footer="0.31496062992125984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Z78"/>
  <sheetViews>
    <sheetView view="pageLayout" zoomScaleNormal="90" workbookViewId="0">
      <selection activeCell="D63" sqref="D63"/>
    </sheetView>
  </sheetViews>
  <sheetFormatPr defaultRowHeight="15" x14ac:dyDescent="0.25"/>
  <cols>
    <col min="1" max="1" width="5.7109375" style="14" customWidth="1"/>
    <col min="2" max="2" width="2.7109375" style="14" customWidth="1"/>
    <col min="3" max="3" width="10.5703125" style="14" customWidth="1"/>
    <col min="4" max="4" width="37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2.5" customHeight="1" x14ac:dyDescent="0.25"/>
    <row r="2" spans="2:26" ht="15" customHeight="1" thickBot="1" x14ac:dyDescent="0.3">
      <c r="B2" s="142" t="s">
        <v>85</v>
      </c>
      <c r="C2" s="142"/>
      <c r="D2" s="142"/>
      <c r="E2" s="142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143" t="s">
        <v>70</v>
      </c>
      <c r="C3" s="156" t="s">
        <v>0</v>
      </c>
      <c r="D3" s="159" t="s">
        <v>1</v>
      </c>
      <c r="E3" s="162" t="s">
        <v>6</v>
      </c>
      <c r="F3" s="163"/>
      <c r="G3" s="166" t="s">
        <v>7</v>
      </c>
      <c r="H3" s="166"/>
      <c r="I3" s="166"/>
      <c r="J3" s="166"/>
      <c r="K3" s="166"/>
      <c r="L3" s="166"/>
      <c r="M3" s="167" t="s">
        <v>5</v>
      </c>
      <c r="N3" s="168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144"/>
      <c r="C4" s="157"/>
      <c r="D4" s="160"/>
      <c r="E4" s="164"/>
      <c r="F4" s="165"/>
      <c r="G4" s="171" t="s">
        <v>3</v>
      </c>
      <c r="H4" s="171"/>
      <c r="I4" s="169" t="s">
        <v>2</v>
      </c>
      <c r="J4" s="169"/>
      <c r="K4" s="171" t="s">
        <v>4</v>
      </c>
      <c r="L4" s="171"/>
      <c r="M4" s="169"/>
      <c r="N4" s="17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145"/>
      <c r="C5" s="158"/>
      <c r="D5" s="161"/>
      <c r="E5" s="36" t="s">
        <v>15</v>
      </c>
      <c r="F5" s="37" t="s">
        <v>76</v>
      </c>
      <c r="G5" s="36" t="s">
        <v>15</v>
      </c>
      <c r="H5" s="37" t="s">
        <v>76</v>
      </c>
      <c r="I5" s="36" t="s">
        <v>15</v>
      </c>
      <c r="J5" s="37" t="s">
        <v>76</v>
      </c>
      <c r="K5" s="36" t="s">
        <v>15</v>
      </c>
      <c r="L5" s="37" t="s">
        <v>76</v>
      </c>
      <c r="M5" s="36" t="s">
        <v>15</v>
      </c>
      <c r="N5" s="38" t="s">
        <v>76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25">
      <c r="B6" s="146" t="s">
        <v>68</v>
      </c>
      <c r="C6" s="149" t="s">
        <v>8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147"/>
      <c r="C7" s="23" t="s">
        <v>145</v>
      </c>
      <c r="D7" s="8" t="s">
        <v>146</v>
      </c>
      <c r="E7" s="62">
        <v>150</v>
      </c>
      <c r="F7" s="39">
        <v>200</v>
      </c>
      <c r="G7" s="30">
        <f>E7*3.03/100</f>
        <v>4.544999999999999</v>
      </c>
      <c r="H7" s="42">
        <f>F7*3.03/100</f>
        <v>6.06</v>
      </c>
      <c r="I7" s="30">
        <f>E7*3.21/100</f>
        <v>4.8150000000000004</v>
      </c>
      <c r="J7" s="42">
        <f>F7*3.21/100</f>
        <v>6.42</v>
      </c>
      <c r="K7" s="30">
        <f>E7*15.23/100</f>
        <v>22.844999999999999</v>
      </c>
      <c r="L7" s="42">
        <f>F7*15.23/100</f>
        <v>30.46</v>
      </c>
      <c r="M7" s="30">
        <f t="shared" ref="M7:N10" si="0">G7*4+I7*9+K7*4</f>
        <v>152.89499999999998</v>
      </c>
      <c r="N7" s="44">
        <f t="shared" si="0"/>
        <v>203.86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147"/>
      <c r="C8" s="29" t="s">
        <v>208</v>
      </c>
      <c r="D8" s="6" t="s">
        <v>209</v>
      </c>
      <c r="E8" s="90">
        <v>30</v>
      </c>
      <c r="F8" s="91">
        <v>40</v>
      </c>
      <c r="G8" s="30">
        <f>E8*7.6/100</f>
        <v>2.2799999999999998</v>
      </c>
      <c r="H8" s="42">
        <f>F8*7.6/100</f>
        <v>3.04</v>
      </c>
      <c r="I8" s="30">
        <f>E8*0.8/100</f>
        <v>0.24</v>
      </c>
      <c r="J8" s="42">
        <f>F8*0.8/100</f>
        <v>0.32</v>
      </c>
      <c r="K8" s="30">
        <f>E8*49.2/100</f>
        <v>14.76</v>
      </c>
      <c r="L8" s="42">
        <f>F8*49.2/100</f>
        <v>19.68</v>
      </c>
      <c r="M8" s="30">
        <f t="shared" si="0"/>
        <v>70.319999999999993</v>
      </c>
      <c r="N8" s="44">
        <f t="shared" si="0"/>
        <v>93.759999999999991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147"/>
      <c r="C9" s="66" t="s">
        <v>213</v>
      </c>
      <c r="D9" s="64" t="s">
        <v>214</v>
      </c>
      <c r="E9" s="88">
        <v>10</v>
      </c>
      <c r="F9" s="65">
        <v>10</v>
      </c>
      <c r="G9" s="30">
        <f>E9*23.2/100</f>
        <v>2.3199999999999998</v>
      </c>
      <c r="H9" s="42">
        <f>F9*23.2/100</f>
        <v>2.3199999999999998</v>
      </c>
      <c r="I9" s="30">
        <f>E9*29.5/100</f>
        <v>2.95</v>
      </c>
      <c r="J9" s="42">
        <f>F9*29.5/100</f>
        <v>2.95</v>
      </c>
      <c r="K9" s="30">
        <f>E9*0/100</f>
        <v>0</v>
      </c>
      <c r="L9" s="42">
        <f>F9*0/100</f>
        <v>0</v>
      </c>
      <c r="M9" s="30">
        <f t="shared" si="0"/>
        <v>35.83</v>
      </c>
      <c r="N9" s="44">
        <f t="shared" si="0"/>
        <v>35.83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147"/>
      <c r="C10" s="23" t="s">
        <v>79</v>
      </c>
      <c r="D10" s="9" t="s">
        <v>16</v>
      </c>
      <c r="E10" s="88">
        <v>200</v>
      </c>
      <c r="F10" s="40">
        <v>200</v>
      </c>
      <c r="G10" s="30">
        <f>E10*0.2/200</f>
        <v>0.2</v>
      </c>
      <c r="H10" s="42">
        <f>F10*0.2/200</f>
        <v>0.2</v>
      </c>
      <c r="I10" s="30">
        <f t="shared" ref="I10:J10" si="1">E10*0.1/200</f>
        <v>0.1</v>
      </c>
      <c r="J10" s="42">
        <f t="shared" si="1"/>
        <v>0.1</v>
      </c>
      <c r="K10" s="30">
        <f>E10*9.3/200</f>
        <v>9.3000000000000007</v>
      </c>
      <c r="L10" s="42">
        <f>F10*9.3/200</f>
        <v>9.3000000000000007</v>
      </c>
      <c r="M10" s="30">
        <f t="shared" si="0"/>
        <v>38.900000000000006</v>
      </c>
      <c r="N10" s="44">
        <f t="shared" si="0"/>
        <v>38.900000000000006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147"/>
      <c r="C11" s="35"/>
      <c r="D11" s="4" t="s">
        <v>13</v>
      </c>
      <c r="E11" s="32">
        <f t="shared" ref="E11:L11" si="2">SUM(E7:E10)</f>
        <v>390</v>
      </c>
      <c r="F11" s="41">
        <f t="shared" si="2"/>
        <v>450</v>
      </c>
      <c r="G11" s="7">
        <f t="shared" si="2"/>
        <v>9.3449999999999989</v>
      </c>
      <c r="H11" s="43">
        <f t="shared" si="2"/>
        <v>11.62</v>
      </c>
      <c r="I11" s="7">
        <f t="shared" si="2"/>
        <v>8.1050000000000004</v>
      </c>
      <c r="J11" s="43">
        <f t="shared" si="2"/>
        <v>9.7900000000000009</v>
      </c>
      <c r="K11" s="7">
        <f t="shared" si="2"/>
        <v>46.905000000000001</v>
      </c>
      <c r="L11" s="43">
        <f t="shared" si="2"/>
        <v>59.44</v>
      </c>
      <c r="M11" s="7">
        <f t="shared" ref="M11:N11" si="3">G11*4+I11*9+K11*4</f>
        <v>297.94499999999999</v>
      </c>
      <c r="N11" s="45">
        <f t="shared" si="3"/>
        <v>372.35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147"/>
      <c r="C12" s="172" t="s">
        <v>9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147"/>
      <c r="C13" s="23" t="s">
        <v>193</v>
      </c>
      <c r="D13" s="9" t="s">
        <v>192</v>
      </c>
      <c r="E13" s="61">
        <v>60</v>
      </c>
      <c r="F13" s="52">
        <v>100</v>
      </c>
      <c r="G13" s="31">
        <f>E13*1/100</f>
        <v>0.6</v>
      </c>
      <c r="H13" s="53">
        <f>F13*1/100</f>
        <v>1</v>
      </c>
      <c r="I13" s="31">
        <f>E13*6.1/100</f>
        <v>3.66</v>
      </c>
      <c r="J13" s="53">
        <f>F13*6.1/100</f>
        <v>6.1</v>
      </c>
      <c r="K13" s="31">
        <f>E13*3.5/100</f>
        <v>2.1</v>
      </c>
      <c r="L13" s="53">
        <f>F13*3.5/100</f>
        <v>3.5</v>
      </c>
      <c r="M13" s="31">
        <f t="shared" ref="M13:N19" si="4">G13*4+I13*9+K13*4</f>
        <v>43.739999999999995</v>
      </c>
      <c r="N13" s="50">
        <f t="shared" si="4"/>
        <v>72.900000000000006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s="19" customFormat="1" x14ac:dyDescent="0.25">
      <c r="B14" s="147"/>
      <c r="C14" s="23" t="s">
        <v>190</v>
      </c>
      <c r="D14" s="8" t="s">
        <v>191</v>
      </c>
      <c r="E14" s="80">
        <v>200</v>
      </c>
      <c r="F14" s="52">
        <v>250</v>
      </c>
      <c r="G14" s="30">
        <f>E14*1.12/100</f>
        <v>2.2400000000000002</v>
      </c>
      <c r="H14" s="42">
        <f>F14*1.12/100</f>
        <v>2.8</v>
      </c>
      <c r="I14" s="30">
        <f>E14*1.31/100</f>
        <v>2.62</v>
      </c>
      <c r="J14" s="42">
        <f>F14*1.31/100</f>
        <v>3.2749999999999999</v>
      </c>
      <c r="K14" s="30">
        <f>E14*6.56/100</f>
        <v>13.12</v>
      </c>
      <c r="L14" s="42">
        <f>F14*6.56/100</f>
        <v>16.399999999999999</v>
      </c>
      <c r="M14" s="31">
        <f t="shared" si="4"/>
        <v>85.02000000000001</v>
      </c>
      <c r="N14" s="50">
        <f t="shared" si="4"/>
        <v>106.27499999999999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s="19" customFormat="1" x14ac:dyDescent="0.25">
      <c r="B15" s="147"/>
      <c r="C15" s="23" t="s">
        <v>226</v>
      </c>
      <c r="D15" s="9" t="s">
        <v>227</v>
      </c>
      <c r="E15" s="88">
        <v>230</v>
      </c>
      <c r="F15" s="40">
        <v>250</v>
      </c>
      <c r="G15" s="30">
        <f>E15*5.7/100</f>
        <v>13.11</v>
      </c>
      <c r="H15" s="42">
        <f>F15*5.7/100</f>
        <v>14.25</v>
      </c>
      <c r="I15" s="30">
        <f>E15*9.45/100</f>
        <v>21.734999999999999</v>
      </c>
      <c r="J15" s="42">
        <f>F15*9.45/100</f>
        <v>23.625</v>
      </c>
      <c r="K15" s="30">
        <f>E15*9.4/100</f>
        <v>21.62</v>
      </c>
      <c r="L15" s="42">
        <f>F15*9.4/100</f>
        <v>23.5</v>
      </c>
      <c r="M15" s="30">
        <f t="shared" si="4"/>
        <v>334.53500000000003</v>
      </c>
      <c r="N15" s="44">
        <f t="shared" si="4"/>
        <v>363.625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147"/>
      <c r="C16" s="23" t="s">
        <v>149</v>
      </c>
      <c r="D16" s="9" t="s">
        <v>150</v>
      </c>
      <c r="E16" s="62">
        <v>200</v>
      </c>
      <c r="F16" s="40">
        <v>200</v>
      </c>
      <c r="G16" s="30">
        <f>E16*0.05/100</f>
        <v>0.1</v>
      </c>
      <c r="H16" s="42">
        <f>F16*0.05/100</f>
        <v>0.1</v>
      </c>
      <c r="I16" s="30">
        <f>E16*0.05/100</f>
        <v>0.1</v>
      </c>
      <c r="J16" s="42">
        <f>F16*0.05/100</f>
        <v>0.1</v>
      </c>
      <c r="K16" s="30">
        <f>E16*5.55/100</f>
        <v>11.1</v>
      </c>
      <c r="L16" s="42">
        <f>F16*5.55/100</f>
        <v>11.1</v>
      </c>
      <c r="M16" s="30">
        <f t="shared" si="4"/>
        <v>45.699999999999996</v>
      </c>
      <c r="N16" s="44">
        <f t="shared" si="4"/>
        <v>45.699999999999996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9" customFormat="1" x14ac:dyDescent="0.25">
      <c r="B17" s="147"/>
      <c r="C17" s="29" t="s">
        <v>67</v>
      </c>
      <c r="D17" s="6" t="s">
        <v>133</v>
      </c>
      <c r="E17" s="62">
        <v>100</v>
      </c>
      <c r="F17" s="40">
        <v>100</v>
      </c>
      <c r="G17" s="30">
        <v>0.4</v>
      </c>
      <c r="H17" s="42">
        <v>0.4</v>
      </c>
      <c r="I17" s="30">
        <v>0.4</v>
      </c>
      <c r="J17" s="42">
        <v>0.4</v>
      </c>
      <c r="K17" s="30">
        <v>9.8000000000000007</v>
      </c>
      <c r="L17" s="42">
        <v>9.8000000000000007</v>
      </c>
      <c r="M17" s="30">
        <f t="shared" si="4"/>
        <v>44.400000000000006</v>
      </c>
      <c r="N17" s="44">
        <f t="shared" si="4"/>
        <v>44.400000000000006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147"/>
      <c r="C18" s="29" t="s">
        <v>210</v>
      </c>
      <c r="D18" s="6" t="s">
        <v>24</v>
      </c>
      <c r="E18" s="90">
        <v>20</v>
      </c>
      <c r="F18" s="91">
        <v>20</v>
      </c>
      <c r="G18" s="30">
        <f>E18*8/100</f>
        <v>1.6</v>
      </c>
      <c r="H18" s="42">
        <f>F18*8/100</f>
        <v>1.6</v>
      </c>
      <c r="I18" s="30">
        <f>E18*1.5/100</f>
        <v>0.3</v>
      </c>
      <c r="J18" s="42">
        <f>F18*1.5/100</f>
        <v>0.3</v>
      </c>
      <c r="K18" s="30">
        <f>E18*40.1/100</f>
        <v>8.02</v>
      </c>
      <c r="L18" s="42">
        <f>F18*40.1/100</f>
        <v>8.02</v>
      </c>
      <c r="M18" s="30">
        <f t="shared" si="4"/>
        <v>41.18</v>
      </c>
      <c r="N18" s="44">
        <f t="shared" si="4"/>
        <v>41.18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147"/>
      <c r="C19" s="29" t="s">
        <v>208</v>
      </c>
      <c r="D19" s="6" t="s">
        <v>209</v>
      </c>
      <c r="E19" s="90">
        <v>50</v>
      </c>
      <c r="F19" s="91">
        <v>50</v>
      </c>
      <c r="G19" s="30">
        <f>E19*7.6/100</f>
        <v>3.8</v>
      </c>
      <c r="H19" s="42">
        <f>F19*7.6/100</f>
        <v>3.8</v>
      </c>
      <c r="I19" s="30">
        <f>E19*0.8/100</f>
        <v>0.4</v>
      </c>
      <c r="J19" s="42">
        <f>F19*0.8/100</f>
        <v>0.4</v>
      </c>
      <c r="K19" s="30">
        <f>E19*49.2/100</f>
        <v>24.6</v>
      </c>
      <c r="L19" s="42">
        <f>F19*49.2/100</f>
        <v>24.6</v>
      </c>
      <c r="M19" s="30">
        <f t="shared" si="4"/>
        <v>117.2</v>
      </c>
      <c r="N19" s="44">
        <f t="shared" si="4"/>
        <v>117.2</v>
      </c>
      <c r="O19" s="1"/>
      <c r="P19" s="3"/>
      <c r="Q19" s="5"/>
      <c r="R19" s="5" t="s">
        <v>27</v>
      </c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147"/>
      <c r="C20" s="29"/>
      <c r="D20" s="4" t="s">
        <v>14</v>
      </c>
      <c r="E20" s="32">
        <f t="shared" ref="E20:N20" si="5">SUM(E13:E19)</f>
        <v>860</v>
      </c>
      <c r="F20" s="47">
        <f t="shared" si="5"/>
        <v>970</v>
      </c>
      <c r="G20" s="7">
        <f t="shared" si="5"/>
        <v>21.85</v>
      </c>
      <c r="H20" s="43">
        <f t="shared" si="5"/>
        <v>23.950000000000003</v>
      </c>
      <c r="I20" s="32">
        <f t="shared" si="5"/>
        <v>29.215</v>
      </c>
      <c r="J20" s="43">
        <f t="shared" si="5"/>
        <v>34.199999999999996</v>
      </c>
      <c r="K20" s="32">
        <f t="shared" si="5"/>
        <v>90.360000000000014</v>
      </c>
      <c r="L20" s="43">
        <f t="shared" si="5"/>
        <v>96.919999999999987</v>
      </c>
      <c r="M20" s="7">
        <f t="shared" si="5"/>
        <v>711.77499999999998</v>
      </c>
      <c r="N20" s="45">
        <f t="shared" si="5"/>
        <v>791.28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5.75" thickBot="1" x14ac:dyDescent="0.3">
      <c r="B21" s="148"/>
      <c r="C21" s="34"/>
      <c r="D21" s="20" t="s">
        <v>12</v>
      </c>
      <c r="E21" s="21"/>
      <c r="F21" s="48"/>
      <c r="G21" s="22">
        <f t="shared" ref="G21:N21" si="6">G11+G20</f>
        <v>31.195</v>
      </c>
      <c r="H21" s="49">
        <f t="shared" si="6"/>
        <v>35.57</v>
      </c>
      <c r="I21" s="22">
        <f t="shared" si="6"/>
        <v>37.32</v>
      </c>
      <c r="J21" s="49">
        <f t="shared" si="6"/>
        <v>43.989999999999995</v>
      </c>
      <c r="K21" s="22">
        <f t="shared" si="6"/>
        <v>137.26500000000001</v>
      </c>
      <c r="L21" s="49">
        <f t="shared" si="6"/>
        <v>156.35999999999999</v>
      </c>
      <c r="M21" s="22">
        <f t="shared" si="6"/>
        <v>1009.72</v>
      </c>
      <c r="N21" s="51">
        <f t="shared" si="6"/>
        <v>1163.6300000000001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139" t="s">
        <v>69</v>
      </c>
      <c r="C22" s="149" t="s">
        <v>8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1"/>
    </row>
    <row r="23" spans="2:26" x14ac:dyDescent="0.25">
      <c r="B23" s="140"/>
      <c r="C23" s="81" t="s">
        <v>131</v>
      </c>
      <c r="D23" s="68" t="s">
        <v>17</v>
      </c>
      <c r="E23" s="79">
        <v>100</v>
      </c>
      <c r="F23" s="40">
        <v>100</v>
      </c>
      <c r="G23" s="30">
        <f>E23*2.5/100</f>
        <v>2.5</v>
      </c>
      <c r="H23" s="42">
        <f>F23*2.5/100</f>
        <v>2.5</v>
      </c>
      <c r="I23" s="30">
        <f>E23*3.18/100</f>
        <v>3.18</v>
      </c>
      <c r="J23" s="42">
        <f>F23*3.18/100</f>
        <v>3.18</v>
      </c>
      <c r="K23" s="30">
        <f>E23*15.7/100</f>
        <v>15.7</v>
      </c>
      <c r="L23" s="42">
        <f>F23*15.7/100</f>
        <v>15.7</v>
      </c>
      <c r="M23" s="30">
        <f t="shared" ref="M23:N26" si="7">G23*4+I23*9+K23*4</f>
        <v>101.42</v>
      </c>
      <c r="N23" s="44">
        <f t="shared" si="7"/>
        <v>101.42</v>
      </c>
    </row>
    <row r="24" spans="2:26" x14ac:dyDescent="0.25">
      <c r="B24" s="140"/>
      <c r="C24" s="66" t="s">
        <v>215</v>
      </c>
      <c r="D24" s="64" t="s">
        <v>216</v>
      </c>
      <c r="E24" s="88">
        <v>10</v>
      </c>
      <c r="F24" s="65">
        <v>10</v>
      </c>
      <c r="G24" s="30">
        <f>E24*0.8/100</f>
        <v>0.08</v>
      </c>
      <c r="H24" s="42">
        <f>F24*0.8/100</f>
        <v>0.08</v>
      </c>
      <c r="I24" s="30">
        <f>E24*72.5/100</f>
        <v>7.25</v>
      </c>
      <c r="J24" s="42">
        <f>F24*72.5/100</f>
        <v>7.25</v>
      </c>
      <c r="K24" s="30">
        <f>E24*1.3/100</f>
        <v>0.13</v>
      </c>
      <c r="L24" s="42">
        <f>F24*1.3/100</f>
        <v>0.13</v>
      </c>
      <c r="M24" s="30">
        <f t="shared" si="7"/>
        <v>66.089999999999989</v>
      </c>
      <c r="N24" s="44">
        <f t="shared" si="7"/>
        <v>66.089999999999989</v>
      </c>
    </row>
    <row r="25" spans="2:26" s="19" customFormat="1" x14ac:dyDescent="0.25">
      <c r="B25" s="140"/>
      <c r="C25" s="29" t="s">
        <v>208</v>
      </c>
      <c r="D25" s="6" t="s">
        <v>209</v>
      </c>
      <c r="E25" s="90">
        <v>30</v>
      </c>
      <c r="F25" s="91">
        <v>40</v>
      </c>
      <c r="G25" s="30">
        <f>E25*7.6/100</f>
        <v>2.2799999999999998</v>
      </c>
      <c r="H25" s="42">
        <f>F25*7.6/100</f>
        <v>3.04</v>
      </c>
      <c r="I25" s="30">
        <f>E25*0.8/100</f>
        <v>0.24</v>
      </c>
      <c r="J25" s="42">
        <f>F25*0.8/100</f>
        <v>0.32</v>
      </c>
      <c r="K25" s="30">
        <f>E25*49.2/100</f>
        <v>14.76</v>
      </c>
      <c r="L25" s="42">
        <f>F25*49.2/100</f>
        <v>19.68</v>
      </c>
      <c r="M25" s="30">
        <f t="shared" si="7"/>
        <v>70.319999999999993</v>
      </c>
      <c r="N25" s="44">
        <f t="shared" si="7"/>
        <v>93.759999999999991</v>
      </c>
    </row>
    <row r="26" spans="2:26" x14ac:dyDescent="0.25">
      <c r="B26" s="140"/>
      <c r="C26" s="29" t="s">
        <v>78</v>
      </c>
      <c r="D26" s="6" t="s">
        <v>11</v>
      </c>
      <c r="E26" s="88">
        <v>200</v>
      </c>
      <c r="F26" s="40">
        <v>200</v>
      </c>
      <c r="G26" s="30">
        <f>E26*0.3/200</f>
        <v>0.3</v>
      </c>
      <c r="H26" s="42">
        <f>F26*0.3/200</f>
        <v>0.3</v>
      </c>
      <c r="I26" s="30">
        <f t="shared" ref="I26:J26" si="8">E26*0.1/200</f>
        <v>0.1</v>
      </c>
      <c r="J26" s="42">
        <f t="shared" si="8"/>
        <v>0.1</v>
      </c>
      <c r="K26" s="30">
        <f>E26*9.5/200</f>
        <v>9.5</v>
      </c>
      <c r="L26" s="42">
        <f>F26*9.5/200</f>
        <v>9.5</v>
      </c>
      <c r="M26" s="30">
        <f t="shared" si="7"/>
        <v>40.1</v>
      </c>
      <c r="N26" s="44">
        <f t="shared" si="7"/>
        <v>40.1</v>
      </c>
    </row>
    <row r="27" spans="2:26" x14ac:dyDescent="0.25">
      <c r="B27" s="140"/>
      <c r="C27" s="35"/>
      <c r="D27" s="4" t="s">
        <v>13</v>
      </c>
      <c r="E27" s="32">
        <f t="shared" ref="E27:L27" si="9">SUM(E23:E26)</f>
        <v>340</v>
      </c>
      <c r="F27" s="41">
        <f t="shared" si="9"/>
        <v>350</v>
      </c>
      <c r="G27" s="7">
        <f t="shared" si="9"/>
        <v>5.1599999999999993</v>
      </c>
      <c r="H27" s="43">
        <f t="shared" si="9"/>
        <v>5.92</v>
      </c>
      <c r="I27" s="7">
        <f t="shared" si="9"/>
        <v>10.77</v>
      </c>
      <c r="J27" s="43">
        <f t="shared" si="9"/>
        <v>10.85</v>
      </c>
      <c r="K27" s="7">
        <f t="shared" si="9"/>
        <v>40.090000000000003</v>
      </c>
      <c r="L27" s="43">
        <f t="shared" si="9"/>
        <v>45.01</v>
      </c>
      <c r="M27" s="7">
        <f t="shared" ref="M27:N27" si="10">G27*4+I27*9+K27*4</f>
        <v>277.93</v>
      </c>
      <c r="N27" s="45">
        <f t="shared" si="10"/>
        <v>301.37</v>
      </c>
    </row>
    <row r="28" spans="2:26" x14ac:dyDescent="0.25">
      <c r="B28" s="140"/>
      <c r="C28" s="172" t="s">
        <v>9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4"/>
    </row>
    <row r="29" spans="2:26" x14ac:dyDescent="0.25">
      <c r="B29" s="140"/>
      <c r="C29" s="23" t="s">
        <v>194</v>
      </c>
      <c r="D29" s="9" t="s">
        <v>195</v>
      </c>
      <c r="E29" s="79">
        <v>60</v>
      </c>
      <c r="F29" s="46">
        <v>100</v>
      </c>
      <c r="G29" s="30">
        <f>E29*1.08/100</f>
        <v>0.64800000000000013</v>
      </c>
      <c r="H29" s="42">
        <f>F29*1.08/100</f>
        <v>1.08</v>
      </c>
      <c r="I29" s="30">
        <f>E29*9.99/100</f>
        <v>5.9939999999999998</v>
      </c>
      <c r="J29" s="42">
        <f>F29*9.99/100</f>
        <v>9.99</v>
      </c>
      <c r="K29" s="30">
        <f>E29*8.98/100</f>
        <v>5.3880000000000008</v>
      </c>
      <c r="L29" s="42">
        <f>F29*8.98/100</f>
        <v>8.98</v>
      </c>
      <c r="M29" s="31">
        <f t="shared" ref="M29:N33" si="11">G29*4+I29*9+K29*4</f>
        <v>78.09</v>
      </c>
      <c r="N29" s="50">
        <f t="shared" si="11"/>
        <v>130.14999999999998</v>
      </c>
    </row>
    <row r="30" spans="2:26" s="19" customFormat="1" x14ac:dyDescent="0.25">
      <c r="B30" s="140"/>
      <c r="C30" s="23" t="s">
        <v>140</v>
      </c>
      <c r="D30" s="8" t="s">
        <v>196</v>
      </c>
      <c r="E30" s="80">
        <v>200</v>
      </c>
      <c r="F30" s="52">
        <v>250</v>
      </c>
      <c r="G30" s="31">
        <v>1.73</v>
      </c>
      <c r="H30" s="53">
        <v>2.13</v>
      </c>
      <c r="I30" s="31">
        <v>4.1900000000000004</v>
      </c>
      <c r="J30" s="53">
        <v>5.05</v>
      </c>
      <c r="K30" s="31">
        <v>8.18</v>
      </c>
      <c r="L30" s="53">
        <v>10.18</v>
      </c>
      <c r="M30" s="31">
        <f t="shared" si="11"/>
        <v>77.349999999999994</v>
      </c>
      <c r="N30" s="50">
        <f t="shared" si="11"/>
        <v>94.69</v>
      </c>
    </row>
    <row r="31" spans="2:26" x14ac:dyDescent="0.25">
      <c r="B31" s="140"/>
      <c r="C31" s="23" t="s">
        <v>21</v>
      </c>
      <c r="D31" s="9" t="s">
        <v>22</v>
      </c>
      <c r="E31" s="79">
        <v>150</v>
      </c>
      <c r="F31" s="40">
        <v>180</v>
      </c>
      <c r="G31" s="30">
        <f>E31*2.1/100</f>
        <v>3.15</v>
      </c>
      <c r="H31" s="42">
        <f>F31*2.1/100</f>
        <v>3.78</v>
      </c>
      <c r="I31" s="30">
        <f>E31*4.5/100</f>
        <v>6.75</v>
      </c>
      <c r="J31" s="42">
        <f>F31*4.5/100</f>
        <v>8.1</v>
      </c>
      <c r="K31" s="30">
        <f>E31*14.6/100</f>
        <v>21.9</v>
      </c>
      <c r="L31" s="42">
        <f>F31*14.6/100</f>
        <v>26.28</v>
      </c>
      <c r="M31" s="30">
        <f t="shared" si="11"/>
        <v>160.94999999999999</v>
      </c>
      <c r="N31" s="44">
        <f t="shared" si="11"/>
        <v>193.14</v>
      </c>
    </row>
    <row r="32" spans="2:26" s="19" customFormat="1" x14ac:dyDescent="0.25">
      <c r="B32" s="140"/>
      <c r="C32" s="23" t="s">
        <v>197</v>
      </c>
      <c r="D32" s="9" t="s">
        <v>198</v>
      </c>
      <c r="E32" s="79">
        <v>90</v>
      </c>
      <c r="F32" s="40">
        <v>100</v>
      </c>
      <c r="G32" s="30">
        <f>E32*12.8/100</f>
        <v>11.52</v>
      </c>
      <c r="H32" s="42">
        <f>F32*12.8/100</f>
        <v>12.8</v>
      </c>
      <c r="I32" s="30">
        <f>E32*13.6/100</f>
        <v>12.24</v>
      </c>
      <c r="J32" s="42">
        <f>F32*13.6/100</f>
        <v>13.6</v>
      </c>
      <c r="K32" s="30">
        <f>E32*9.9/100</f>
        <v>8.91</v>
      </c>
      <c r="L32" s="42">
        <f>F32*9.9/100</f>
        <v>9.9</v>
      </c>
      <c r="M32" s="30">
        <f t="shared" si="11"/>
        <v>191.88</v>
      </c>
      <c r="N32" s="44">
        <f t="shared" si="11"/>
        <v>213.2</v>
      </c>
    </row>
    <row r="33" spans="2:14" x14ac:dyDescent="0.25">
      <c r="B33" s="140"/>
      <c r="C33" s="23" t="s">
        <v>79</v>
      </c>
      <c r="D33" s="9" t="s">
        <v>16</v>
      </c>
      <c r="E33" s="88">
        <v>200</v>
      </c>
      <c r="F33" s="40">
        <v>200</v>
      </c>
      <c r="G33" s="30">
        <f>E33*0.2/200</f>
        <v>0.2</v>
      </c>
      <c r="H33" s="42">
        <f>F33*0.2/200</f>
        <v>0.2</v>
      </c>
      <c r="I33" s="30">
        <f t="shared" ref="I33:J33" si="12">E33*0.1/200</f>
        <v>0.1</v>
      </c>
      <c r="J33" s="42">
        <f t="shared" si="12"/>
        <v>0.1</v>
      </c>
      <c r="K33" s="30">
        <f>E33*9.3/200</f>
        <v>9.3000000000000007</v>
      </c>
      <c r="L33" s="42">
        <f>F33*9.3/200</f>
        <v>9.3000000000000007</v>
      </c>
      <c r="M33" s="30">
        <f t="shared" si="11"/>
        <v>38.900000000000006</v>
      </c>
      <c r="N33" s="44">
        <f t="shared" si="11"/>
        <v>38.900000000000006</v>
      </c>
    </row>
    <row r="34" spans="2:14" s="19" customFormat="1" x14ac:dyDescent="0.25">
      <c r="B34" s="140"/>
      <c r="C34" s="29" t="s">
        <v>67</v>
      </c>
      <c r="D34" s="6" t="s">
        <v>133</v>
      </c>
      <c r="E34" s="62">
        <v>100</v>
      </c>
      <c r="F34" s="40">
        <v>100</v>
      </c>
      <c r="G34" s="30">
        <v>0.4</v>
      </c>
      <c r="H34" s="42">
        <v>0.4</v>
      </c>
      <c r="I34" s="30">
        <v>0.4</v>
      </c>
      <c r="J34" s="42">
        <v>0.4</v>
      </c>
      <c r="K34" s="30">
        <v>9.8000000000000007</v>
      </c>
      <c r="L34" s="42">
        <v>9.8000000000000007</v>
      </c>
      <c r="M34" s="30">
        <f t="shared" ref="M34:M36" si="13">G34*4+I34*9+K34*4</f>
        <v>44.400000000000006</v>
      </c>
      <c r="N34" s="44">
        <f t="shared" ref="N34:N36" si="14">H34*4+J34*9+L34*4</f>
        <v>44.400000000000006</v>
      </c>
    </row>
    <row r="35" spans="2:14" x14ac:dyDescent="0.25">
      <c r="B35" s="140"/>
      <c r="C35" s="29" t="s">
        <v>210</v>
      </c>
      <c r="D35" s="6" t="s">
        <v>24</v>
      </c>
      <c r="E35" s="90">
        <v>20</v>
      </c>
      <c r="F35" s="91">
        <v>20</v>
      </c>
      <c r="G35" s="30">
        <f>E35*8/100</f>
        <v>1.6</v>
      </c>
      <c r="H35" s="42">
        <f>F35*8/100</f>
        <v>1.6</v>
      </c>
      <c r="I35" s="30">
        <f>E35*1.5/100</f>
        <v>0.3</v>
      </c>
      <c r="J35" s="42">
        <f>F35*1.5/100</f>
        <v>0.3</v>
      </c>
      <c r="K35" s="30">
        <f>E35*40.1/100</f>
        <v>8.02</v>
      </c>
      <c r="L35" s="42">
        <f>F35*40.1/100</f>
        <v>8.02</v>
      </c>
      <c r="M35" s="30">
        <f t="shared" si="13"/>
        <v>41.18</v>
      </c>
      <c r="N35" s="44">
        <f t="shared" si="14"/>
        <v>41.18</v>
      </c>
    </row>
    <row r="36" spans="2:14" x14ac:dyDescent="0.25">
      <c r="B36" s="140"/>
      <c r="C36" s="29" t="s">
        <v>208</v>
      </c>
      <c r="D36" s="6" t="s">
        <v>209</v>
      </c>
      <c r="E36" s="90">
        <v>40</v>
      </c>
      <c r="F36" s="91">
        <v>40</v>
      </c>
      <c r="G36" s="30">
        <f>E36*7.6/100</f>
        <v>3.04</v>
      </c>
      <c r="H36" s="42">
        <f>F36*7.6/100</f>
        <v>3.04</v>
      </c>
      <c r="I36" s="30">
        <f>E36*0.8/100</f>
        <v>0.32</v>
      </c>
      <c r="J36" s="42">
        <f>F36*0.8/100</f>
        <v>0.32</v>
      </c>
      <c r="K36" s="30">
        <f>E36*49.2/100</f>
        <v>19.68</v>
      </c>
      <c r="L36" s="42">
        <f>F36*49.2/100</f>
        <v>19.68</v>
      </c>
      <c r="M36" s="30">
        <f t="shared" si="13"/>
        <v>93.759999999999991</v>
      </c>
      <c r="N36" s="44">
        <f t="shared" si="14"/>
        <v>93.759999999999991</v>
      </c>
    </row>
    <row r="37" spans="2:14" x14ac:dyDescent="0.25">
      <c r="B37" s="140"/>
      <c r="C37" s="29"/>
      <c r="D37" s="4" t="s">
        <v>14</v>
      </c>
      <c r="E37" s="32">
        <f t="shared" ref="E37:N37" si="15">SUM(E29:E36)</f>
        <v>860</v>
      </c>
      <c r="F37" s="47">
        <f t="shared" si="15"/>
        <v>990</v>
      </c>
      <c r="G37" s="7">
        <f t="shared" si="15"/>
        <v>22.288</v>
      </c>
      <c r="H37" s="43">
        <f t="shared" si="15"/>
        <v>25.029999999999998</v>
      </c>
      <c r="I37" s="32">
        <f t="shared" si="15"/>
        <v>30.294</v>
      </c>
      <c r="J37" s="43">
        <f t="shared" si="15"/>
        <v>37.86</v>
      </c>
      <c r="K37" s="7">
        <f t="shared" si="15"/>
        <v>91.177999999999997</v>
      </c>
      <c r="L37" s="43">
        <f t="shared" si="15"/>
        <v>102.13999999999999</v>
      </c>
      <c r="M37" s="7">
        <f t="shared" si="15"/>
        <v>726.50999999999988</v>
      </c>
      <c r="N37" s="45">
        <f t="shared" si="15"/>
        <v>849.41999999999985</v>
      </c>
    </row>
    <row r="38" spans="2:14" ht="15.75" thickBot="1" x14ac:dyDescent="0.3">
      <c r="B38" s="141"/>
      <c r="C38" s="34"/>
      <c r="D38" s="20" t="s">
        <v>12</v>
      </c>
      <c r="E38" s="21"/>
      <c r="F38" s="48"/>
      <c r="G38" s="22">
        <f t="shared" ref="G38:N38" si="16">G27+G37</f>
        <v>27.448</v>
      </c>
      <c r="H38" s="49">
        <f t="shared" si="16"/>
        <v>30.949999999999996</v>
      </c>
      <c r="I38" s="22">
        <f t="shared" si="16"/>
        <v>41.064</v>
      </c>
      <c r="J38" s="49">
        <f t="shared" si="16"/>
        <v>48.71</v>
      </c>
      <c r="K38" s="22">
        <f t="shared" si="16"/>
        <v>131.268</v>
      </c>
      <c r="L38" s="49">
        <f t="shared" si="16"/>
        <v>147.14999999999998</v>
      </c>
      <c r="M38" s="22">
        <f t="shared" si="16"/>
        <v>1004.4399999999998</v>
      </c>
      <c r="N38" s="51">
        <f t="shared" si="16"/>
        <v>1150.79</v>
      </c>
    </row>
    <row r="39" spans="2:14" x14ac:dyDescent="0.25">
      <c r="B39" s="139" t="s">
        <v>71</v>
      </c>
      <c r="C39" s="149" t="s">
        <v>8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1"/>
    </row>
    <row r="40" spans="2:14" ht="16.5" customHeight="1" x14ac:dyDescent="0.25">
      <c r="B40" s="140"/>
      <c r="C40" s="29" t="s">
        <v>126</v>
      </c>
      <c r="D40" s="8" t="s">
        <v>96</v>
      </c>
      <c r="E40" s="88">
        <v>150</v>
      </c>
      <c r="F40" s="39">
        <v>200</v>
      </c>
      <c r="G40" s="30">
        <f>E40*4.35/100</f>
        <v>6.5250000000000004</v>
      </c>
      <c r="H40" s="42">
        <f>F40*4.35/100</f>
        <v>8.6999999999999993</v>
      </c>
      <c r="I40" s="30">
        <f>E40*3.74/100</f>
        <v>5.61</v>
      </c>
      <c r="J40" s="42">
        <f>F40*3.74/100</f>
        <v>7.48</v>
      </c>
      <c r="K40" s="30">
        <f>E40*15.7/100</f>
        <v>23.55</v>
      </c>
      <c r="L40" s="42">
        <f>F40*15.7/100</f>
        <v>31.4</v>
      </c>
      <c r="M40" s="30">
        <f t="shared" ref="M40:N42" si="17">G40*4+I40*9+K40*4</f>
        <v>170.79000000000002</v>
      </c>
      <c r="N40" s="44">
        <f t="shared" si="17"/>
        <v>227.72</v>
      </c>
    </row>
    <row r="41" spans="2:14" x14ac:dyDescent="0.25">
      <c r="B41" s="140"/>
      <c r="C41" s="29" t="s">
        <v>208</v>
      </c>
      <c r="D41" s="6" t="s">
        <v>209</v>
      </c>
      <c r="E41" s="90">
        <v>30</v>
      </c>
      <c r="F41" s="91">
        <v>40</v>
      </c>
      <c r="G41" s="30">
        <f>E41*7.6/100</f>
        <v>2.2799999999999998</v>
      </c>
      <c r="H41" s="42">
        <f>F41*7.6/100</f>
        <v>3.04</v>
      </c>
      <c r="I41" s="30">
        <f>E41*0.8/100</f>
        <v>0.24</v>
      </c>
      <c r="J41" s="42">
        <f>F41*0.8/100</f>
        <v>0.32</v>
      </c>
      <c r="K41" s="30">
        <f>E41*49.2/100</f>
        <v>14.76</v>
      </c>
      <c r="L41" s="42">
        <f>F41*49.2/100</f>
        <v>19.68</v>
      </c>
      <c r="M41" s="30">
        <f t="shared" si="17"/>
        <v>70.319999999999993</v>
      </c>
      <c r="N41" s="44">
        <f t="shared" si="17"/>
        <v>93.759999999999991</v>
      </c>
    </row>
    <row r="42" spans="2:14" x14ac:dyDescent="0.25">
      <c r="B42" s="140"/>
      <c r="C42" s="66" t="s">
        <v>213</v>
      </c>
      <c r="D42" s="64" t="s">
        <v>214</v>
      </c>
      <c r="E42" s="88">
        <v>10</v>
      </c>
      <c r="F42" s="65">
        <v>10</v>
      </c>
      <c r="G42" s="30">
        <f>E42*23.2/100</f>
        <v>2.3199999999999998</v>
      </c>
      <c r="H42" s="42">
        <f>F42*23.2/100</f>
        <v>2.3199999999999998</v>
      </c>
      <c r="I42" s="30">
        <f>E42*29.5/100</f>
        <v>2.95</v>
      </c>
      <c r="J42" s="42">
        <f>F42*29.5/100</f>
        <v>2.95</v>
      </c>
      <c r="K42" s="30">
        <f>E42*0/100</f>
        <v>0</v>
      </c>
      <c r="L42" s="42">
        <f>F42*0/100</f>
        <v>0</v>
      </c>
      <c r="M42" s="30">
        <f t="shared" si="17"/>
        <v>35.83</v>
      </c>
      <c r="N42" s="44">
        <f t="shared" si="17"/>
        <v>35.83</v>
      </c>
    </row>
    <row r="43" spans="2:14" x14ac:dyDescent="0.25">
      <c r="B43" s="140"/>
      <c r="C43" s="23" t="s">
        <v>79</v>
      </c>
      <c r="D43" s="9" t="s">
        <v>16</v>
      </c>
      <c r="E43" s="88">
        <v>200</v>
      </c>
      <c r="F43" s="40">
        <v>200</v>
      </c>
      <c r="G43" s="30">
        <f>E43*0.2/200</f>
        <v>0.2</v>
      </c>
      <c r="H43" s="42">
        <f>F43*0.2/200</f>
        <v>0.2</v>
      </c>
      <c r="I43" s="30">
        <f t="shared" ref="I43:J43" si="18">E43*0.1/200</f>
        <v>0.1</v>
      </c>
      <c r="J43" s="42">
        <f t="shared" si="18"/>
        <v>0.1</v>
      </c>
      <c r="K43" s="30">
        <f>E43*9.3/200</f>
        <v>9.3000000000000007</v>
      </c>
      <c r="L43" s="42">
        <f>F43*9.3/200</f>
        <v>9.3000000000000007</v>
      </c>
      <c r="M43" s="30">
        <f t="shared" ref="M43:N44" si="19">G43*4+I43*9+K43*4</f>
        <v>38.900000000000006</v>
      </c>
      <c r="N43" s="44">
        <f t="shared" si="19"/>
        <v>38.900000000000006</v>
      </c>
    </row>
    <row r="44" spans="2:14" x14ac:dyDescent="0.25">
      <c r="B44" s="140"/>
      <c r="C44" s="35"/>
      <c r="D44" s="4" t="s">
        <v>13</v>
      </c>
      <c r="E44" s="32">
        <f t="shared" ref="E44:L44" si="20">SUM(E40:E43)</f>
        <v>390</v>
      </c>
      <c r="F44" s="41">
        <f t="shared" si="20"/>
        <v>450</v>
      </c>
      <c r="G44" s="7">
        <f t="shared" si="20"/>
        <v>11.324999999999999</v>
      </c>
      <c r="H44" s="43">
        <f t="shared" si="20"/>
        <v>14.259999999999998</v>
      </c>
      <c r="I44" s="7">
        <f t="shared" si="20"/>
        <v>8.9</v>
      </c>
      <c r="J44" s="43">
        <f t="shared" si="20"/>
        <v>10.85</v>
      </c>
      <c r="K44" s="7">
        <f t="shared" si="20"/>
        <v>47.61</v>
      </c>
      <c r="L44" s="43">
        <f t="shared" si="20"/>
        <v>60.379999999999995</v>
      </c>
      <c r="M44" s="7">
        <f t="shared" si="19"/>
        <v>315.84000000000003</v>
      </c>
      <c r="N44" s="45">
        <f t="shared" si="19"/>
        <v>396.21</v>
      </c>
    </row>
    <row r="45" spans="2:14" x14ac:dyDescent="0.25">
      <c r="B45" s="140"/>
      <c r="C45" s="172" t="s">
        <v>9</v>
      </c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4"/>
    </row>
    <row r="46" spans="2:14" x14ac:dyDescent="0.25">
      <c r="B46" s="140"/>
      <c r="C46" s="23" t="s">
        <v>156</v>
      </c>
      <c r="D46" s="9" t="s">
        <v>155</v>
      </c>
      <c r="E46" s="18">
        <v>60</v>
      </c>
      <c r="F46" s="52">
        <v>100</v>
      </c>
      <c r="G46" s="30">
        <f>E46*0.8/100</f>
        <v>0.48</v>
      </c>
      <c r="H46" s="42">
        <f>F46*0.8/100</f>
        <v>0.8</v>
      </c>
      <c r="I46" s="30">
        <f>E46*6/100</f>
        <v>3.6</v>
      </c>
      <c r="J46" s="42">
        <f>F46*6/100</f>
        <v>6</v>
      </c>
      <c r="K46" s="30">
        <f>E46*2.6/100</f>
        <v>1.56</v>
      </c>
      <c r="L46" s="42">
        <f>F46*2.6/100</f>
        <v>2.6</v>
      </c>
      <c r="M46" s="30">
        <f t="shared" ref="M46:N50" si="21">G46*4+I46*9+K46*4</f>
        <v>40.56</v>
      </c>
      <c r="N46" s="44">
        <f t="shared" ref="N46:N47" si="22">H46*4+J46*9+L46*4</f>
        <v>67.600000000000009</v>
      </c>
    </row>
    <row r="47" spans="2:14" s="19" customFormat="1" x14ac:dyDescent="0.25">
      <c r="B47" s="140"/>
      <c r="C47" s="23" t="s">
        <v>129</v>
      </c>
      <c r="D47" s="9" t="s">
        <v>130</v>
      </c>
      <c r="E47" s="70">
        <v>200</v>
      </c>
      <c r="F47" s="46">
        <v>250</v>
      </c>
      <c r="G47" s="30">
        <v>1.81</v>
      </c>
      <c r="H47" s="42">
        <v>2.23</v>
      </c>
      <c r="I47" s="30">
        <v>4.8499999999999996</v>
      </c>
      <c r="J47" s="42">
        <v>5.88</v>
      </c>
      <c r="K47" s="30">
        <v>13.46</v>
      </c>
      <c r="L47" s="42">
        <v>16.78</v>
      </c>
      <c r="M47" s="30">
        <f t="shared" si="21"/>
        <v>104.73</v>
      </c>
      <c r="N47" s="44">
        <f t="shared" si="22"/>
        <v>128.96</v>
      </c>
    </row>
    <row r="48" spans="2:14" x14ac:dyDescent="0.25">
      <c r="B48" s="140"/>
      <c r="C48" s="29" t="s">
        <v>51</v>
      </c>
      <c r="D48" s="6" t="s">
        <v>144</v>
      </c>
      <c r="E48" s="70">
        <v>150</v>
      </c>
      <c r="F48" s="40">
        <v>180</v>
      </c>
      <c r="G48" s="30">
        <f>E48*2.85/100</f>
        <v>4.2750000000000004</v>
      </c>
      <c r="H48" s="42">
        <f>F48*2.85/100</f>
        <v>5.13</v>
      </c>
      <c r="I48" s="30">
        <f>E48*3.25/100</f>
        <v>4.875</v>
      </c>
      <c r="J48" s="42">
        <f>F48*3.25/100</f>
        <v>5.85</v>
      </c>
      <c r="K48" s="30">
        <f>E48*16.3/100</f>
        <v>24.45</v>
      </c>
      <c r="L48" s="42">
        <f>F48*16.3/100</f>
        <v>29.34</v>
      </c>
      <c r="M48" s="30">
        <f t="shared" si="21"/>
        <v>158.77500000000001</v>
      </c>
      <c r="N48" s="44">
        <f t="shared" si="21"/>
        <v>190.53</v>
      </c>
    </row>
    <row r="49" spans="2:17" x14ac:dyDescent="0.25">
      <c r="B49" s="140"/>
      <c r="C49" s="23" t="s">
        <v>230</v>
      </c>
      <c r="D49" s="9" t="s">
        <v>206</v>
      </c>
      <c r="E49" s="88">
        <v>100</v>
      </c>
      <c r="F49" s="40">
        <v>100</v>
      </c>
      <c r="G49" s="30">
        <f>E49*9.5/100</f>
        <v>9.5</v>
      </c>
      <c r="H49" s="42">
        <f>F49*9.5/100</f>
        <v>9.5</v>
      </c>
      <c r="I49" s="30">
        <f>E49*11.07/100</f>
        <v>11.07</v>
      </c>
      <c r="J49" s="42">
        <f>F49*11.07/100</f>
        <v>11.07</v>
      </c>
      <c r="K49" s="30">
        <f>E49*2.2/100</f>
        <v>2.2000000000000002</v>
      </c>
      <c r="L49" s="42">
        <f>F49*2.2/100</f>
        <v>2.2000000000000002</v>
      </c>
      <c r="M49" s="30">
        <f t="shared" si="21"/>
        <v>146.43</v>
      </c>
      <c r="N49" s="44">
        <f t="shared" si="21"/>
        <v>146.43</v>
      </c>
    </row>
    <row r="50" spans="2:17" x14ac:dyDescent="0.25">
      <c r="B50" s="140"/>
      <c r="C50" s="29" t="s">
        <v>231</v>
      </c>
      <c r="D50" s="6" t="s">
        <v>232</v>
      </c>
      <c r="E50" s="88">
        <v>200</v>
      </c>
      <c r="F50" s="40">
        <v>200</v>
      </c>
      <c r="G50" s="30">
        <f>E50*0.5/100</f>
        <v>1</v>
      </c>
      <c r="H50" s="42">
        <f>F50*0.5/100</f>
        <v>1</v>
      </c>
      <c r="I50" s="30">
        <f>E50*0.1/100</f>
        <v>0.2</v>
      </c>
      <c r="J50" s="42">
        <f>F50*0.1/100</f>
        <v>0.2</v>
      </c>
      <c r="K50" s="30">
        <f>E50*10.1/100</f>
        <v>20.2</v>
      </c>
      <c r="L50" s="42">
        <f>F50*10.1/100</f>
        <v>20.2</v>
      </c>
      <c r="M50" s="30">
        <f t="shared" si="21"/>
        <v>86.6</v>
      </c>
      <c r="N50" s="44">
        <f t="shared" si="21"/>
        <v>86.6</v>
      </c>
    </row>
    <row r="51" spans="2:17" s="19" customFormat="1" x14ac:dyDescent="0.25">
      <c r="B51" s="140"/>
      <c r="C51" s="29" t="s">
        <v>67</v>
      </c>
      <c r="D51" s="6" t="s">
        <v>133</v>
      </c>
      <c r="E51" s="70">
        <v>100</v>
      </c>
      <c r="F51" s="40">
        <v>100</v>
      </c>
      <c r="G51" s="30">
        <v>0.4</v>
      </c>
      <c r="H51" s="42">
        <v>0.4</v>
      </c>
      <c r="I51" s="30">
        <v>0.4</v>
      </c>
      <c r="J51" s="42">
        <v>0.4</v>
      </c>
      <c r="K51" s="30">
        <v>9.8000000000000007</v>
      </c>
      <c r="L51" s="42">
        <v>9.8000000000000007</v>
      </c>
      <c r="M51" s="30">
        <f t="shared" ref="M51:N53" si="23">G51*4+I51*9+K51*4</f>
        <v>44.400000000000006</v>
      </c>
      <c r="N51" s="44">
        <f t="shared" si="23"/>
        <v>44.400000000000006</v>
      </c>
    </row>
    <row r="52" spans="2:17" x14ac:dyDescent="0.25">
      <c r="B52" s="140"/>
      <c r="C52" s="29" t="s">
        <v>210</v>
      </c>
      <c r="D52" s="6" t="s">
        <v>24</v>
      </c>
      <c r="E52" s="90">
        <v>20</v>
      </c>
      <c r="F52" s="91">
        <v>20</v>
      </c>
      <c r="G52" s="30">
        <f>E52*8/100</f>
        <v>1.6</v>
      </c>
      <c r="H52" s="42">
        <f>F52*8/100</f>
        <v>1.6</v>
      </c>
      <c r="I52" s="30">
        <f>E52*1.5/100</f>
        <v>0.3</v>
      </c>
      <c r="J52" s="42">
        <f>F52*1.5/100</f>
        <v>0.3</v>
      </c>
      <c r="K52" s="30">
        <f>E52*40.1/100</f>
        <v>8.02</v>
      </c>
      <c r="L52" s="42">
        <f>F52*40.1/100</f>
        <v>8.02</v>
      </c>
      <c r="M52" s="30">
        <f t="shared" si="23"/>
        <v>41.18</v>
      </c>
      <c r="N52" s="44">
        <f t="shared" si="23"/>
        <v>41.18</v>
      </c>
    </row>
    <row r="53" spans="2:17" x14ac:dyDescent="0.25">
      <c r="B53" s="140"/>
      <c r="C53" s="29" t="s">
        <v>208</v>
      </c>
      <c r="D53" s="6" t="s">
        <v>209</v>
      </c>
      <c r="E53" s="90">
        <v>45</v>
      </c>
      <c r="F53" s="91">
        <v>45</v>
      </c>
      <c r="G53" s="30">
        <f>E53*7.6/100</f>
        <v>3.42</v>
      </c>
      <c r="H53" s="42">
        <f>F53*7.6/100</f>
        <v>3.42</v>
      </c>
      <c r="I53" s="30">
        <f>E53*0.8/100</f>
        <v>0.36</v>
      </c>
      <c r="J53" s="42">
        <f>F53*0.8/100</f>
        <v>0.36</v>
      </c>
      <c r="K53" s="30">
        <f>E53*49.2/100</f>
        <v>22.14</v>
      </c>
      <c r="L53" s="42">
        <f>F53*49.2/100</f>
        <v>22.14</v>
      </c>
      <c r="M53" s="30">
        <f t="shared" si="23"/>
        <v>105.48</v>
      </c>
      <c r="N53" s="44">
        <f t="shared" si="23"/>
        <v>105.48</v>
      </c>
      <c r="Q53" s="14" t="s">
        <v>27</v>
      </c>
    </row>
    <row r="54" spans="2:17" x14ac:dyDescent="0.25">
      <c r="B54" s="140"/>
      <c r="C54" s="29"/>
      <c r="D54" s="4" t="s">
        <v>14</v>
      </c>
      <c r="E54" s="32">
        <f t="shared" ref="E54:N54" si="24">SUM(E46:E53)</f>
        <v>875</v>
      </c>
      <c r="F54" s="47">
        <f t="shared" si="24"/>
        <v>995</v>
      </c>
      <c r="G54" s="7">
        <f t="shared" si="24"/>
        <v>22.484999999999999</v>
      </c>
      <c r="H54" s="43">
        <f t="shared" si="24"/>
        <v>24.08</v>
      </c>
      <c r="I54" s="32">
        <f t="shared" si="24"/>
        <v>25.654999999999998</v>
      </c>
      <c r="J54" s="43">
        <f t="shared" si="24"/>
        <v>30.059999999999995</v>
      </c>
      <c r="K54" s="7">
        <f t="shared" si="24"/>
        <v>101.83</v>
      </c>
      <c r="L54" s="43">
        <f t="shared" si="24"/>
        <v>111.08</v>
      </c>
      <c r="M54" s="7">
        <f t="shared" si="24"/>
        <v>728.15499999999997</v>
      </c>
      <c r="N54" s="45">
        <f t="shared" si="24"/>
        <v>811.18</v>
      </c>
    </row>
    <row r="55" spans="2:17" ht="15.75" thickBot="1" x14ac:dyDescent="0.3">
      <c r="B55" s="141"/>
      <c r="C55" s="34"/>
      <c r="D55" s="20" t="s">
        <v>12</v>
      </c>
      <c r="E55" s="21"/>
      <c r="F55" s="48"/>
      <c r="G55" s="22">
        <f t="shared" ref="G55:N55" si="25">G44+G54</f>
        <v>33.81</v>
      </c>
      <c r="H55" s="49">
        <f t="shared" si="25"/>
        <v>38.339999999999996</v>
      </c>
      <c r="I55" s="22">
        <f t="shared" si="25"/>
        <v>34.555</v>
      </c>
      <c r="J55" s="49">
        <f t="shared" si="25"/>
        <v>40.909999999999997</v>
      </c>
      <c r="K55" s="22">
        <f t="shared" si="25"/>
        <v>149.44</v>
      </c>
      <c r="L55" s="49">
        <f t="shared" si="25"/>
        <v>171.45999999999998</v>
      </c>
      <c r="M55" s="22">
        <f t="shared" si="25"/>
        <v>1043.9949999999999</v>
      </c>
      <c r="N55" s="51">
        <f t="shared" si="25"/>
        <v>1207.3899999999999</v>
      </c>
    </row>
    <row r="56" spans="2:17" ht="15.75" x14ac:dyDescent="0.25">
      <c r="B56" s="142"/>
      <c r="C56" s="142"/>
      <c r="D56" s="142"/>
      <c r="E56" s="142"/>
      <c r="H56" s="17"/>
    </row>
    <row r="57" spans="2:17" x14ac:dyDescent="0.25">
      <c r="H57" s="1"/>
    </row>
    <row r="70" spans="6:10" x14ac:dyDescent="0.25">
      <c r="F70" s="1"/>
    </row>
    <row r="78" spans="6:10" x14ac:dyDescent="0.25">
      <c r="J78" s="1"/>
    </row>
  </sheetData>
  <mergeCells count="20">
    <mergeCell ref="B39:B55"/>
    <mergeCell ref="C39:N39"/>
    <mergeCell ref="C45:N45"/>
    <mergeCell ref="B56:E56"/>
    <mergeCell ref="B6:B21"/>
    <mergeCell ref="C6:N6"/>
    <mergeCell ref="C12:N12"/>
    <mergeCell ref="B22:B38"/>
    <mergeCell ref="C22:N22"/>
    <mergeCell ref="C28:N28"/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</mergeCells>
  <pageMargins left="0.23622047244094491" right="0.23622047244094491" top="0.19685039370078741" bottom="0.19685039370078741" header="0.31496062992125984" footer="0.31496062992125984"/>
  <pageSetup paperSize="9" scale="72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Z77"/>
  <sheetViews>
    <sheetView view="pageLayout" zoomScale="90" zoomScaleNormal="90" zoomScalePageLayoutView="90" workbookViewId="0">
      <selection activeCell="E47" sqref="E47"/>
    </sheetView>
  </sheetViews>
  <sheetFormatPr defaultRowHeight="15" x14ac:dyDescent="0.25"/>
  <cols>
    <col min="1" max="1" width="8.42578125" style="19" customWidth="1"/>
    <col min="2" max="2" width="2.7109375" style="19" customWidth="1"/>
    <col min="3" max="3" width="10.5703125" style="19" customWidth="1"/>
    <col min="4" max="4" width="38" style="19" customWidth="1"/>
    <col min="5" max="6" width="7.28515625" style="19" customWidth="1"/>
    <col min="7" max="7" width="6.7109375" style="19" customWidth="1"/>
    <col min="8" max="8" width="6.85546875" style="19" customWidth="1"/>
    <col min="9" max="9" width="6.42578125" style="19" customWidth="1"/>
    <col min="10" max="10" width="6.5703125" style="19" customWidth="1"/>
    <col min="11" max="11" width="7.5703125" style="19" customWidth="1"/>
    <col min="12" max="12" width="7.42578125" style="19" customWidth="1"/>
    <col min="13" max="13" width="8.5703125" style="19" customWidth="1"/>
    <col min="14" max="14" width="7.5703125" style="19" customWidth="1"/>
    <col min="15" max="15" width="9" style="19" customWidth="1"/>
    <col min="16" max="16" width="7.28515625" style="19" customWidth="1"/>
    <col min="17" max="20" width="9.140625" style="19"/>
    <col min="21" max="21" width="19.7109375" style="19" customWidth="1"/>
    <col min="22" max="22" width="7.7109375" style="19" customWidth="1"/>
    <col min="23" max="23" width="9.140625" style="19"/>
    <col min="24" max="24" width="7.7109375" style="19" customWidth="1"/>
    <col min="25" max="16384" width="9.140625" style="19"/>
  </cols>
  <sheetData>
    <row r="1" spans="2:26" ht="23.25" customHeight="1" x14ac:dyDescent="0.25"/>
    <row r="2" spans="2:26" ht="16.5" customHeight="1" thickBot="1" x14ac:dyDescent="0.3">
      <c r="B2" s="142" t="s">
        <v>85</v>
      </c>
      <c r="C2" s="142"/>
      <c r="D2" s="142"/>
      <c r="E2" s="142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143" t="s">
        <v>70</v>
      </c>
      <c r="C3" s="156" t="s">
        <v>0</v>
      </c>
      <c r="D3" s="159" t="s">
        <v>1</v>
      </c>
      <c r="E3" s="162" t="s">
        <v>6</v>
      </c>
      <c r="F3" s="163"/>
      <c r="G3" s="166" t="s">
        <v>7</v>
      </c>
      <c r="H3" s="166"/>
      <c r="I3" s="166"/>
      <c r="J3" s="166"/>
      <c r="K3" s="166"/>
      <c r="L3" s="166"/>
      <c r="M3" s="167" t="s">
        <v>5</v>
      </c>
      <c r="N3" s="168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144"/>
      <c r="C4" s="157"/>
      <c r="D4" s="160"/>
      <c r="E4" s="164"/>
      <c r="F4" s="165"/>
      <c r="G4" s="171" t="s">
        <v>3</v>
      </c>
      <c r="H4" s="171"/>
      <c r="I4" s="169" t="s">
        <v>2</v>
      </c>
      <c r="J4" s="169"/>
      <c r="K4" s="171" t="s">
        <v>4</v>
      </c>
      <c r="L4" s="171"/>
      <c r="M4" s="169"/>
      <c r="N4" s="170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145"/>
      <c r="C5" s="158"/>
      <c r="D5" s="161"/>
      <c r="E5" s="36" t="s">
        <v>15</v>
      </c>
      <c r="F5" s="37" t="s">
        <v>76</v>
      </c>
      <c r="G5" s="36" t="s">
        <v>15</v>
      </c>
      <c r="H5" s="37" t="s">
        <v>76</v>
      </c>
      <c r="I5" s="36" t="s">
        <v>15</v>
      </c>
      <c r="J5" s="37" t="s">
        <v>76</v>
      </c>
      <c r="K5" s="36" t="s">
        <v>15</v>
      </c>
      <c r="L5" s="37" t="s">
        <v>76</v>
      </c>
      <c r="M5" s="36" t="s">
        <v>15</v>
      </c>
      <c r="N5" s="38" t="s">
        <v>76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197" t="s">
        <v>80</v>
      </c>
      <c r="C6" s="200" t="s">
        <v>8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2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198"/>
      <c r="C7" s="23" t="s">
        <v>166</v>
      </c>
      <c r="D7" s="9" t="s">
        <v>25</v>
      </c>
      <c r="E7" s="88">
        <v>150</v>
      </c>
      <c r="F7" s="39">
        <v>200</v>
      </c>
      <c r="G7" s="30">
        <f>E7*3.4/100</f>
        <v>5.0999999999999996</v>
      </c>
      <c r="H7" s="42">
        <f>F7*3.4/100</f>
        <v>6.8</v>
      </c>
      <c r="I7" s="30">
        <f>E7*4.1/100</f>
        <v>6.15</v>
      </c>
      <c r="J7" s="42">
        <f>F7*4.1/100</f>
        <v>8.1999999999999993</v>
      </c>
      <c r="K7" s="30">
        <f>E7*20.6/100</f>
        <v>30.9</v>
      </c>
      <c r="L7" s="42">
        <f>F7*20.6/100</f>
        <v>41.2</v>
      </c>
      <c r="M7" s="88">
        <f t="shared" ref="M7:N9" si="0">G7*4+I7*9+K7*4</f>
        <v>199.35</v>
      </c>
      <c r="N7" s="44">
        <f t="shared" si="0"/>
        <v>265.8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198"/>
      <c r="C8" s="66" t="s">
        <v>215</v>
      </c>
      <c r="D8" s="64" t="s">
        <v>216</v>
      </c>
      <c r="E8" s="88">
        <v>10</v>
      </c>
      <c r="F8" s="65">
        <v>10</v>
      </c>
      <c r="G8" s="30">
        <f>E8*0.8/100</f>
        <v>0.08</v>
      </c>
      <c r="H8" s="42">
        <f>F8*0.8/100</f>
        <v>0.08</v>
      </c>
      <c r="I8" s="30">
        <f>E8*72.5/100</f>
        <v>7.25</v>
      </c>
      <c r="J8" s="42">
        <f>F8*72.5/100</f>
        <v>7.25</v>
      </c>
      <c r="K8" s="30">
        <f>E8*1.3/100</f>
        <v>0.13</v>
      </c>
      <c r="L8" s="42">
        <f>F8*1.3/100</f>
        <v>0.13</v>
      </c>
      <c r="M8" s="30">
        <f t="shared" si="0"/>
        <v>66.089999999999989</v>
      </c>
      <c r="N8" s="44">
        <f t="shared" si="0"/>
        <v>66.089999999999989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198"/>
      <c r="C9" s="29" t="s">
        <v>208</v>
      </c>
      <c r="D9" s="6" t="s">
        <v>209</v>
      </c>
      <c r="E9" s="90">
        <v>30</v>
      </c>
      <c r="F9" s="91">
        <v>40</v>
      </c>
      <c r="G9" s="30">
        <f>E9*7.6/100</f>
        <v>2.2799999999999998</v>
      </c>
      <c r="H9" s="42">
        <f>F9*7.6/100</f>
        <v>3.04</v>
      </c>
      <c r="I9" s="30">
        <f>E9*0.8/100</f>
        <v>0.24</v>
      </c>
      <c r="J9" s="42">
        <f>F9*0.8/100</f>
        <v>0.32</v>
      </c>
      <c r="K9" s="30">
        <f>E9*49.2/100</f>
        <v>14.76</v>
      </c>
      <c r="L9" s="42">
        <f>F9*49.2/100</f>
        <v>19.68</v>
      </c>
      <c r="M9" s="30">
        <f t="shared" si="0"/>
        <v>70.319999999999993</v>
      </c>
      <c r="N9" s="44">
        <f t="shared" si="0"/>
        <v>93.759999999999991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198"/>
      <c r="C10" s="29" t="s">
        <v>78</v>
      </c>
      <c r="D10" s="6" t="s">
        <v>11</v>
      </c>
      <c r="E10" s="88">
        <v>200</v>
      </c>
      <c r="F10" s="40">
        <v>200</v>
      </c>
      <c r="G10" s="30">
        <f>E10*0.3/200</f>
        <v>0.3</v>
      </c>
      <c r="H10" s="42">
        <f>F10*0.3/200</f>
        <v>0.3</v>
      </c>
      <c r="I10" s="30">
        <f t="shared" ref="I10:J10" si="1">E10*0.1/200</f>
        <v>0.1</v>
      </c>
      <c r="J10" s="42">
        <f t="shared" si="1"/>
        <v>0.1</v>
      </c>
      <c r="K10" s="30">
        <f>E10*9.5/200</f>
        <v>9.5</v>
      </c>
      <c r="L10" s="42">
        <f>F10*9.5/200</f>
        <v>9.5</v>
      </c>
      <c r="M10" s="30">
        <f t="shared" ref="M10:N11" si="2">G10*4+I10*9+K10*4</f>
        <v>40.1</v>
      </c>
      <c r="N10" s="44">
        <f t="shared" si="2"/>
        <v>40.1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198"/>
      <c r="C11" s="35"/>
      <c r="D11" s="4" t="s">
        <v>13</v>
      </c>
      <c r="E11" s="32">
        <f t="shared" ref="E11:L11" si="3">SUM(E7:E10)</f>
        <v>390</v>
      </c>
      <c r="F11" s="41">
        <f t="shared" si="3"/>
        <v>450</v>
      </c>
      <c r="G11" s="7">
        <f t="shared" si="3"/>
        <v>7.7599999999999989</v>
      </c>
      <c r="H11" s="43">
        <f t="shared" si="3"/>
        <v>10.220000000000001</v>
      </c>
      <c r="I11" s="7">
        <f t="shared" si="3"/>
        <v>13.74</v>
      </c>
      <c r="J11" s="43">
        <f t="shared" si="3"/>
        <v>15.87</v>
      </c>
      <c r="K11" s="7">
        <f t="shared" si="3"/>
        <v>55.29</v>
      </c>
      <c r="L11" s="43">
        <f t="shared" si="3"/>
        <v>70.510000000000005</v>
      </c>
      <c r="M11" s="7">
        <f t="shared" si="2"/>
        <v>375.86</v>
      </c>
      <c r="N11" s="45">
        <f t="shared" si="2"/>
        <v>465.75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198"/>
      <c r="C12" s="172" t="s">
        <v>9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198"/>
      <c r="C13" s="29" t="s">
        <v>199</v>
      </c>
      <c r="D13" s="6" t="s">
        <v>200</v>
      </c>
      <c r="E13" s="88">
        <v>60</v>
      </c>
      <c r="F13" s="46">
        <v>100</v>
      </c>
      <c r="G13" s="30">
        <f>E13*4.8/100</f>
        <v>2.88</v>
      </c>
      <c r="H13" s="42">
        <f>F13*4.8/100</f>
        <v>4.8</v>
      </c>
      <c r="I13" s="30">
        <f>E13*10.7/100</f>
        <v>6.42</v>
      </c>
      <c r="J13" s="42">
        <f>F13*10.7/100</f>
        <v>10.7</v>
      </c>
      <c r="K13" s="30">
        <f>E13*6.5/100</f>
        <v>3.9</v>
      </c>
      <c r="L13" s="42">
        <f>F13*6.5/100</f>
        <v>6.5</v>
      </c>
      <c r="M13" s="30">
        <f t="shared" ref="M13:N13" si="4">G13*4+I13*9+K13*4</f>
        <v>84.899999999999991</v>
      </c>
      <c r="N13" s="44">
        <f t="shared" si="4"/>
        <v>141.5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198"/>
      <c r="C14" s="23" t="s">
        <v>154</v>
      </c>
      <c r="D14" s="9" t="s">
        <v>153</v>
      </c>
      <c r="E14" s="87">
        <v>200</v>
      </c>
      <c r="F14" s="52">
        <v>250</v>
      </c>
      <c r="G14" s="30">
        <f>E14*5.48/100</f>
        <v>10.96</v>
      </c>
      <c r="H14" s="42">
        <f>F14*5.48/100</f>
        <v>13.7</v>
      </c>
      <c r="I14" s="30">
        <f>E14*4/100</f>
        <v>8</v>
      </c>
      <c r="J14" s="42">
        <f>F14*4/100</f>
        <v>10</v>
      </c>
      <c r="K14" s="30">
        <f>E14*8.72/100</f>
        <v>17.440000000000001</v>
      </c>
      <c r="L14" s="42">
        <f>F14*8.72/100</f>
        <v>21.8</v>
      </c>
      <c r="M14" s="30">
        <f t="shared" ref="M14:N20" si="5">G14*4+I14*9+K14*4</f>
        <v>185.60000000000002</v>
      </c>
      <c r="N14" s="44">
        <f t="shared" ref="N14" si="6">H14*4+J14*9+L14*4</f>
        <v>232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198"/>
      <c r="C15" s="29" t="s">
        <v>157</v>
      </c>
      <c r="D15" s="6" t="s">
        <v>158</v>
      </c>
      <c r="E15" s="88">
        <v>150</v>
      </c>
      <c r="F15" s="40">
        <v>180</v>
      </c>
      <c r="G15" s="30">
        <f>E15*2.3/100</f>
        <v>3.45</v>
      </c>
      <c r="H15" s="42">
        <f>F15*2.3/100</f>
        <v>4.1399999999999997</v>
      </c>
      <c r="I15" s="88">
        <f>E15*3.7/100</f>
        <v>5.55</v>
      </c>
      <c r="J15" s="42">
        <f>F15*3.7/100</f>
        <v>6.66</v>
      </c>
      <c r="K15" s="30">
        <f>E15*23.4/100</f>
        <v>35.1</v>
      </c>
      <c r="L15" s="42">
        <f>F15*23.4/100</f>
        <v>42.12</v>
      </c>
      <c r="M15" s="30">
        <f t="shared" si="5"/>
        <v>204.15</v>
      </c>
      <c r="N15" s="44">
        <f t="shared" si="5"/>
        <v>244.98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198"/>
      <c r="C16" s="23" t="s">
        <v>159</v>
      </c>
      <c r="D16" s="8" t="s">
        <v>160</v>
      </c>
      <c r="E16" s="88">
        <v>90</v>
      </c>
      <c r="F16" s="40">
        <v>100</v>
      </c>
      <c r="G16" s="30">
        <f>E16*8.9/100</f>
        <v>8.01</v>
      </c>
      <c r="H16" s="42">
        <f>F16*8.9/100</f>
        <v>8.9</v>
      </c>
      <c r="I16" s="30">
        <f>E16*20.3/100</f>
        <v>18.27</v>
      </c>
      <c r="J16" s="42">
        <f>F16*20.3/100</f>
        <v>20.3</v>
      </c>
      <c r="K16" s="30">
        <f>E16*8.9/100</f>
        <v>8.01</v>
      </c>
      <c r="L16" s="42">
        <f>F16*8.9/100</f>
        <v>8.9</v>
      </c>
      <c r="M16" s="30">
        <f t="shared" si="5"/>
        <v>228.51</v>
      </c>
      <c r="N16" s="44">
        <f t="shared" si="5"/>
        <v>253.9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198"/>
      <c r="C17" s="23" t="s">
        <v>83</v>
      </c>
      <c r="D17" s="9" t="s">
        <v>84</v>
      </c>
      <c r="E17" s="88">
        <v>200</v>
      </c>
      <c r="F17" s="40">
        <v>200</v>
      </c>
      <c r="G17" s="30">
        <f>E17*0.6/200</f>
        <v>0.6</v>
      </c>
      <c r="H17" s="42">
        <f>F17*0.6/200</f>
        <v>0.6</v>
      </c>
      <c r="I17" s="30">
        <f>E17*0.1/200</f>
        <v>0.1</v>
      </c>
      <c r="J17" s="42">
        <f>F17*0.1/200</f>
        <v>0.1</v>
      </c>
      <c r="K17" s="30">
        <f>E17*20.1/200</f>
        <v>20.100000000000001</v>
      </c>
      <c r="L17" s="42">
        <f>F17*20.1/200</f>
        <v>20.100000000000001</v>
      </c>
      <c r="M17" s="30">
        <f t="shared" si="5"/>
        <v>83.7</v>
      </c>
      <c r="N17" s="44">
        <f t="shared" si="5"/>
        <v>83.7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198"/>
      <c r="C18" s="29" t="s">
        <v>67</v>
      </c>
      <c r="D18" s="6" t="s">
        <v>133</v>
      </c>
      <c r="E18" s="88">
        <v>100</v>
      </c>
      <c r="F18" s="40">
        <v>100</v>
      </c>
      <c r="G18" s="30">
        <v>0.4</v>
      </c>
      <c r="H18" s="42">
        <v>0.4</v>
      </c>
      <c r="I18" s="30">
        <v>0.4</v>
      </c>
      <c r="J18" s="42">
        <v>0.4</v>
      </c>
      <c r="K18" s="30">
        <v>9.8000000000000007</v>
      </c>
      <c r="L18" s="42">
        <v>9.8000000000000007</v>
      </c>
      <c r="M18" s="30">
        <f t="shared" si="5"/>
        <v>44.400000000000006</v>
      </c>
      <c r="N18" s="44">
        <f t="shared" si="5"/>
        <v>44.400000000000006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198"/>
      <c r="C19" s="29" t="s">
        <v>210</v>
      </c>
      <c r="D19" s="6" t="s">
        <v>24</v>
      </c>
      <c r="E19" s="90">
        <v>20</v>
      </c>
      <c r="F19" s="91">
        <v>20</v>
      </c>
      <c r="G19" s="30">
        <f>E19*8/100</f>
        <v>1.6</v>
      </c>
      <c r="H19" s="42">
        <f>F19*8/100</f>
        <v>1.6</v>
      </c>
      <c r="I19" s="30">
        <f>E19*1.5/100</f>
        <v>0.3</v>
      </c>
      <c r="J19" s="42">
        <f>F19*1.5/100</f>
        <v>0.3</v>
      </c>
      <c r="K19" s="30">
        <f>E19*40.1/100</f>
        <v>8.02</v>
      </c>
      <c r="L19" s="42">
        <f>F19*40.1/100</f>
        <v>8.02</v>
      </c>
      <c r="M19" s="30">
        <f t="shared" si="5"/>
        <v>41.18</v>
      </c>
      <c r="N19" s="44">
        <f t="shared" si="5"/>
        <v>41.18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198"/>
      <c r="C20" s="29" t="s">
        <v>208</v>
      </c>
      <c r="D20" s="6" t="s">
        <v>209</v>
      </c>
      <c r="E20" s="90">
        <v>40</v>
      </c>
      <c r="F20" s="91">
        <v>40</v>
      </c>
      <c r="G20" s="30">
        <f>E20*7.6/100</f>
        <v>3.04</v>
      </c>
      <c r="H20" s="42">
        <f>F20*7.6/100</f>
        <v>3.04</v>
      </c>
      <c r="I20" s="30">
        <f>E20*0.8/100</f>
        <v>0.32</v>
      </c>
      <c r="J20" s="42">
        <f>F20*0.8/100</f>
        <v>0.32</v>
      </c>
      <c r="K20" s="30">
        <f>E20*49.2/100</f>
        <v>19.68</v>
      </c>
      <c r="L20" s="42">
        <f>F20*49.2/100</f>
        <v>19.68</v>
      </c>
      <c r="M20" s="30">
        <f t="shared" si="5"/>
        <v>93.759999999999991</v>
      </c>
      <c r="N20" s="44">
        <f t="shared" si="5"/>
        <v>93.759999999999991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198"/>
      <c r="C21" s="29"/>
      <c r="D21" s="4" t="s">
        <v>14</v>
      </c>
      <c r="E21" s="32">
        <f t="shared" ref="E21:N21" si="7">SUM(E13:E20)</f>
        <v>860</v>
      </c>
      <c r="F21" s="47">
        <f t="shared" si="7"/>
        <v>990</v>
      </c>
      <c r="G21" s="7">
        <f t="shared" si="7"/>
        <v>30.939999999999998</v>
      </c>
      <c r="H21" s="43">
        <f t="shared" si="7"/>
        <v>37.18</v>
      </c>
      <c r="I21" s="32">
        <f t="shared" si="7"/>
        <v>39.359999999999992</v>
      </c>
      <c r="J21" s="43">
        <f t="shared" si="7"/>
        <v>48.779999999999994</v>
      </c>
      <c r="K21" s="32">
        <f t="shared" si="7"/>
        <v>122.05000000000001</v>
      </c>
      <c r="L21" s="43">
        <f t="shared" si="7"/>
        <v>136.92000000000002</v>
      </c>
      <c r="M21" s="7">
        <f t="shared" si="7"/>
        <v>966.19999999999993</v>
      </c>
      <c r="N21" s="45">
        <f t="shared" si="7"/>
        <v>1135.42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ht="15.75" thickBot="1" x14ac:dyDescent="0.3">
      <c r="B22" s="199"/>
      <c r="C22" s="34"/>
      <c r="D22" s="20" t="s">
        <v>12</v>
      </c>
      <c r="E22" s="21"/>
      <c r="F22" s="48"/>
      <c r="G22" s="22">
        <f t="shared" ref="G22:N22" si="8">G11+G21</f>
        <v>38.699999999999996</v>
      </c>
      <c r="H22" s="49">
        <f t="shared" si="8"/>
        <v>47.4</v>
      </c>
      <c r="I22" s="22">
        <f t="shared" si="8"/>
        <v>53.099999999999994</v>
      </c>
      <c r="J22" s="49">
        <f t="shared" si="8"/>
        <v>64.649999999999991</v>
      </c>
      <c r="K22" s="22">
        <f t="shared" si="8"/>
        <v>177.34</v>
      </c>
      <c r="L22" s="49">
        <f t="shared" si="8"/>
        <v>207.43</v>
      </c>
      <c r="M22" s="22">
        <f t="shared" si="8"/>
        <v>1342.06</v>
      </c>
      <c r="N22" s="51">
        <f t="shared" si="8"/>
        <v>1601.17</v>
      </c>
      <c r="O22" s="1"/>
      <c r="P22" s="3"/>
      <c r="Q22" s="5" t="s">
        <v>27</v>
      </c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197" t="s">
        <v>82</v>
      </c>
      <c r="C23" s="149" t="s">
        <v>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2:26" x14ac:dyDescent="0.25">
      <c r="B24" s="198"/>
      <c r="C24" s="23" t="s">
        <v>167</v>
      </c>
      <c r="D24" s="8" t="s">
        <v>161</v>
      </c>
      <c r="E24" s="70">
        <v>150</v>
      </c>
      <c r="F24" s="39">
        <v>200</v>
      </c>
      <c r="G24" s="30">
        <f>E24*3.5/100</f>
        <v>5.25</v>
      </c>
      <c r="H24" s="42">
        <f>F24*3.5/100</f>
        <v>7</v>
      </c>
      <c r="I24" s="30">
        <f>E24*4.6/100</f>
        <v>6.9</v>
      </c>
      <c r="J24" s="42">
        <f>F24*4.6/100</f>
        <v>9.1999999999999993</v>
      </c>
      <c r="K24" s="30">
        <f>E24*16.7/100</f>
        <v>25.05</v>
      </c>
      <c r="L24" s="42">
        <f>F24*16.7/100</f>
        <v>33.4</v>
      </c>
      <c r="M24" s="70">
        <f t="shared" ref="M24:N26" si="9">G24*4+I24*9+K24*4</f>
        <v>183.3</v>
      </c>
      <c r="N24" s="44">
        <f t="shared" si="9"/>
        <v>244.39999999999998</v>
      </c>
      <c r="Q24" s="19" t="s">
        <v>27</v>
      </c>
    </row>
    <row r="25" spans="2:26" x14ac:dyDescent="0.25">
      <c r="B25" s="198"/>
      <c r="C25" s="29" t="s">
        <v>208</v>
      </c>
      <c r="D25" s="6" t="s">
        <v>209</v>
      </c>
      <c r="E25" s="90">
        <v>30</v>
      </c>
      <c r="F25" s="91">
        <v>40</v>
      </c>
      <c r="G25" s="30">
        <f>E25*7.6/100</f>
        <v>2.2799999999999998</v>
      </c>
      <c r="H25" s="42">
        <f>F25*7.6/100</f>
        <v>3.04</v>
      </c>
      <c r="I25" s="30">
        <f>E25*0.8/100</f>
        <v>0.24</v>
      </c>
      <c r="J25" s="42">
        <f>F25*0.8/100</f>
        <v>0.32</v>
      </c>
      <c r="K25" s="30">
        <f>E25*49.2/100</f>
        <v>14.76</v>
      </c>
      <c r="L25" s="42">
        <f>F25*49.2/100</f>
        <v>19.68</v>
      </c>
      <c r="M25" s="30">
        <f t="shared" si="9"/>
        <v>70.319999999999993</v>
      </c>
      <c r="N25" s="44">
        <f t="shared" si="9"/>
        <v>93.759999999999991</v>
      </c>
    </row>
    <row r="26" spans="2:26" x14ac:dyDescent="0.25">
      <c r="B26" s="198"/>
      <c r="C26" s="66" t="s">
        <v>213</v>
      </c>
      <c r="D26" s="64" t="s">
        <v>214</v>
      </c>
      <c r="E26" s="88">
        <v>10</v>
      </c>
      <c r="F26" s="65">
        <v>10</v>
      </c>
      <c r="G26" s="30">
        <f>E26*23.2/100</f>
        <v>2.3199999999999998</v>
      </c>
      <c r="H26" s="42">
        <f>F26*23.2/100</f>
        <v>2.3199999999999998</v>
      </c>
      <c r="I26" s="30">
        <f>E26*29.5/100</f>
        <v>2.95</v>
      </c>
      <c r="J26" s="42">
        <f>F26*29.5/100</f>
        <v>2.95</v>
      </c>
      <c r="K26" s="30">
        <f>E26*0/100</f>
        <v>0</v>
      </c>
      <c r="L26" s="42">
        <f>F26*0/100</f>
        <v>0</v>
      </c>
      <c r="M26" s="30">
        <f t="shared" si="9"/>
        <v>35.83</v>
      </c>
      <c r="N26" s="44">
        <f t="shared" si="9"/>
        <v>35.83</v>
      </c>
    </row>
    <row r="27" spans="2:26" x14ac:dyDescent="0.25">
      <c r="B27" s="198"/>
      <c r="C27" s="23" t="s">
        <v>79</v>
      </c>
      <c r="D27" s="9" t="s">
        <v>16</v>
      </c>
      <c r="E27" s="88">
        <v>200</v>
      </c>
      <c r="F27" s="40">
        <v>200</v>
      </c>
      <c r="G27" s="30">
        <f>E27*0.2/200</f>
        <v>0.2</v>
      </c>
      <c r="H27" s="42">
        <f>F27*0.2/200</f>
        <v>0.2</v>
      </c>
      <c r="I27" s="30">
        <f t="shared" ref="I27:J27" si="10">E27*0.1/200</f>
        <v>0.1</v>
      </c>
      <c r="J27" s="42">
        <f t="shared" si="10"/>
        <v>0.1</v>
      </c>
      <c r="K27" s="30">
        <f>E27*9.3/200</f>
        <v>9.3000000000000007</v>
      </c>
      <c r="L27" s="42">
        <f>F27*9.3/200</f>
        <v>9.3000000000000007</v>
      </c>
      <c r="M27" s="30">
        <f t="shared" ref="M27:N28" si="11">G27*4+I27*9+K27*4</f>
        <v>38.900000000000006</v>
      </c>
      <c r="N27" s="44">
        <f t="shared" si="11"/>
        <v>38.900000000000006</v>
      </c>
    </row>
    <row r="28" spans="2:26" x14ac:dyDescent="0.25">
      <c r="B28" s="198"/>
      <c r="C28" s="35"/>
      <c r="D28" s="4" t="s">
        <v>13</v>
      </c>
      <c r="E28" s="32">
        <f t="shared" ref="E28:L28" si="12">SUM(E24:E27)</f>
        <v>390</v>
      </c>
      <c r="F28" s="41">
        <f t="shared" si="12"/>
        <v>450</v>
      </c>
      <c r="G28" s="7">
        <f t="shared" si="12"/>
        <v>10.049999999999999</v>
      </c>
      <c r="H28" s="43">
        <f t="shared" si="12"/>
        <v>12.559999999999999</v>
      </c>
      <c r="I28" s="7">
        <f t="shared" si="12"/>
        <v>10.19</v>
      </c>
      <c r="J28" s="43">
        <f t="shared" si="12"/>
        <v>12.569999999999999</v>
      </c>
      <c r="K28" s="7">
        <f t="shared" si="12"/>
        <v>49.11</v>
      </c>
      <c r="L28" s="43">
        <f t="shared" si="12"/>
        <v>62.379999999999995</v>
      </c>
      <c r="M28" s="7">
        <f t="shared" si="11"/>
        <v>328.35</v>
      </c>
      <c r="N28" s="45">
        <f t="shared" si="11"/>
        <v>412.89</v>
      </c>
    </row>
    <row r="29" spans="2:26" x14ac:dyDescent="0.25">
      <c r="B29" s="198"/>
      <c r="C29" s="172" t="s">
        <v>9</v>
      </c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4"/>
    </row>
    <row r="30" spans="2:26" x14ac:dyDescent="0.25">
      <c r="B30" s="198"/>
      <c r="C30" s="23" t="s">
        <v>67</v>
      </c>
      <c r="D30" s="9" t="s">
        <v>139</v>
      </c>
      <c r="E30" s="79">
        <v>60</v>
      </c>
      <c r="F30" s="46">
        <v>100</v>
      </c>
      <c r="G30" s="30">
        <f>E30*1.1/100</f>
        <v>0.66</v>
      </c>
      <c r="H30" s="42">
        <f>F30*1.1/100</f>
        <v>1.1000000000000001</v>
      </c>
      <c r="I30" s="30">
        <f>E30*0.2/100</f>
        <v>0.12</v>
      </c>
      <c r="J30" s="42">
        <f>F30*0.2/100</f>
        <v>0.2</v>
      </c>
      <c r="K30" s="30">
        <f>E30*3.8/100</f>
        <v>2.2799999999999998</v>
      </c>
      <c r="L30" s="42">
        <f>F30*3.8/100</f>
        <v>3.8</v>
      </c>
      <c r="M30" s="31">
        <f t="shared" ref="M30:N30" si="13">G30*4+I30*9+K30*4</f>
        <v>12.84</v>
      </c>
      <c r="N30" s="50">
        <f t="shared" si="13"/>
        <v>21.4</v>
      </c>
    </row>
    <row r="31" spans="2:26" x14ac:dyDescent="0.25">
      <c r="B31" s="198"/>
      <c r="C31" s="23" t="s">
        <v>23</v>
      </c>
      <c r="D31" s="9" t="s">
        <v>28</v>
      </c>
      <c r="E31" s="69">
        <v>200</v>
      </c>
      <c r="F31" s="52">
        <v>250</v>
      </c>
      <c r="G31" s="31">
        <v>1.73</v>
      </c>
      <c r="H31" s="53">
        <v>2.13</v>
      </c>
      <c r="I31" s="31">
        <v>4.91</v>
      </c>
      <c r="J31" s="53">
        <v>5.95</v>
      </c>
      <c r="K31" s="31">
        <v>10.66</v>
      </c>
      <c r="L31" s="53">
        <v>13.28</v>
      </c>
      <c r="M31" s="31">
        <f t="shared" ref="M31:N34" si="14">G31*4+I31*9+K31*4</f>
        <v>93.75</v>
      </c>
      <c r="N31" s="50">
        <f t="shared" si="14"/>
        <v>115.19</v>
      </c>
    </row>
    <row r="32" spans="2:26" x14ac:dyDescent="0.25">
      <c r="B32" s="198"/>
      <c r="C32" s="29" t="s">
        <v>50</v>
      </c>
      <c r="D32" s="6" t="s">
        <v>10</v>
      </c>
      <c r="E32" s="70">
        <v>150</v>
      </c>
      <c r="F32" s="40">
        <v>180</v>
      </c>
      <c r="G32" s="30">
        <f>E32*3.5/100</f>
        <v>5.25</v>
      </c>
      <c r="H32" s="42">
        <f>F32*3.5/100</f>
        <v>6.3</v>
      </c>
      <c r="I32" s="70">
        <f>E32*4.1/100</f>
        <v>6.15</v>
      </c>
      <c r="J32" s="42">
        <f>F32*4.1/100</f>
        <v>7.379999999999999</v>
      </c>
      <c r="K32" s="30">
        <f>E32*23.5/100</f>
        <v>35.25</v>
      </c>
      <c r="L32" s="42">
        <f>F32*23.5/100</f>
        <v>42.3</v>
      </c>
      <c r="M32" s="30">
        <f t="shared" si="14"/>
        <v>217.35</v>
      </c>
      <c r="N32" s="44">
        <f t="shared" si="14"/>
        <v>260.82</v>
      </c>
    </row>
    <row r="33" spans="2:14" x14ac:dyDescent="0.25">
      <c r="B33" s="198"/>
      <c r="C33" s="23" t="s">
        <v>47</v>
      </c>
      <c r="D33" s="9" t="s">
        <v>29</v>
      </c>
      <c r="E33" s="79">
        <v>90</v>
      </c>
      <c r="F33" s="40">
        <v>100</v>
      </c>
      <c r="G33" s="30">
        <f>E33*6.33/100</f>
        <v>5.6970000000000001</v>
      </c>
      <c r="H33" s="42">
        <f>F33*6.33/100</f>
        <v>6.33</v>
      </c>
      <c r="I33" s="30">
        <f>E33*14.65/100</f>
        <v>13.185</v>
      </c>
      <c r="J33" s="42">
        <f>F33*14.65/100</f>
        <v>14.65</v>
      </c>
      <c r="K33" s="30">
        <f>E33*10.55/100</f>
        <v>9.495000000000001</v>
      </c>
      <c r="L33" s="42">
        <f>F33*10.55/100</f>
        <v>10.55</v>
      </c>
      <c r="M33" s="30">
        <f t="shared" si="14"/>
        <v>179.43299999999999</v>
      </c>
      <c r="N33" s="44">
        <f t="shared" si="14"/>
        <v>199.37</v>
      </c>
    </row>
    <row r="34" spans="2:14" x14ac:dyDescent="0.25">
      <c r="B34" s="198"/>
      <c r="C34" s="29" t="s">
        <v>211</v>
      </c>
      <c r="D34" s="6" t="s">
        <v>212</v>
      </c>
      <c r="E34" s="88">
        <v>200</v>
      </c>
      <c r="F34" s="40">
        <v>200</v>
      </c>
      <c r="G34" s="30">
        <f>E34*0.15/100</f>
        <v>0.3</v>
      </c>
      <c r="H34" s="42">
        <f>F34*0.15/100</f>
        <v>0.3</v>
      </c>
      <c r="I34" s="30">
        <f>E34*0.005/100</f>
        <v>0.01</v>
      </c>
      <c r="J34" s="42">
        <f>F34*0.005/100</f>
        <v>0.01</v>
      </c>
      <c r="K34" s="30">
        <f>E34*8.75/100</f>
        <v>17.5</v>
      </c>
      <c r="L34" s="42">
        <f>F34*8.75/100</f>
        <v>17.5</v>
      </c>
      <c r="M34" s="30">
        <f t="shared" si="14"/>
        <v>71.290000000000006</v>
      </c>
      <c r="N34" s="44">
        <f t="shared" si="14"/>
        <v>71.290000000000006</v>
      </c>
    </row>
    <row r="35" spans="2:14" x14ac:dyDescent="0.25">
      <c r="B35" s="198"/>
      <c r="C35" s="29" t="s">
        <v>67</v>
      </c>
      <c r="D35" s="6" t="s">
        <v>133</v>
      </c>
      <c r="E35" s="74">
        <v>100</v>
      </c>
      <c r="F35" s="40">
        <v>100</v>
      </c>
      <c r="G35" s="30">
        <v>0.4</v>
      </c>
      <c r="H35" s="42">
        <v>0.4</v>
      </c>
      <c r="I35" s="30">
        <v>0.4</v>
      </c>
      <c r="J35" s="42">
        <v>0.4</v>
      </c>
      <c r="K35" s="30">
        <v>9.8000000000000007</v>
      </c>
      <c r="L35" s="42">
        <v>9.8000000000000007</v>
      </c>
      <c r="M35" s="30">
        <f t="shared" ref="M35:N37" si="15">G35*4+I35*9+K35*4</f>
        <v>44.400000000000006</v>
      </c>
      <c r="N35" s="44">
        <f t="shared" si="15"/>
        <v>44.400000000000006</v>
      </c>
    </row>
    <row r="36" spans="2:14" x14ac:dyDescent="0.25">
      <c r="B36" s="198"/>
      <c r="C36" s="29" t="s">
        <v>210</v>
      </c>
      <c r="D36" s="6" t="s">
        <v>24</v>
      </c>
      <c r="E36" s="90">
        <v>20</v>
      </c>
      <c r="F36" s="91">
        <v>20</v>
      </c>
      <c r="G36" s="30">
        <f>E36*8/100</f>
        <v>1.6</v>
      </c>
      <c r="H36" s="42">
        <f>F36*8/100</f>
        <v>1.6</v>
      </c>
      <c r="I36" s="30">
        <f>E36*1.5/100</f>
        <v>0.3</v>
      </c>
      <c r="J36" s="42">
        <f>F36*1.5/100</f>
        <v>0.3</v>
      </c>
      <c r="K36" s="30">
        <f>E36*40.1/100</f>
        <v>8.02</v>
      </c>
      <c r="L36" s="42">
        <f>F36*40.1/100</f>
        <v>8.02</v>
      </c>
      <c r="M36" s="30">
        <f t="shared" si="15"/>
        <v>41.18</v>
      </c>
      <c r="N36" s="44">
        <f t="shared" si="15"/>
        <v>41.18</v>
      </c>
    </row>
    <row r="37" spans="2:14" x14ac:dyDescent="0.25">
      <c r="B37" s="198"/>
      <c r="C37" s="29" t="s">
        <v>208</v>
      </c>
      <c r="D37" s="6" t="s">
        <v>209</v>
      </c>
      <c r="E37" s="90">
        <v>40</v>
      </c>
      <c r="F37" s="91">
        <v>40</v>
      </c>
      <c r="G37" s="30">
        <f>E37*7.6/100</f>
        <v>3.04</v>
      </c>
      <c r="H37" s="42">
        <f>F37*7.6/100</f>
        <v>3.04</v>
      </c>
      <c r="I37" s="30">
        <f>E37*0.8/100</f>
        <v>0.32</v>
      </c>
      <c r="J37" s="42">
        <f>F37*0.8/100</f>
        <v>0.32</v>
      </c>
      <c r="K37" s="30">
        <f>E37*49.2/100</f>
        <v>19.68</v>
      </c>
      <c r="L37" s="42">
        <f>F37*49.2/100</f>
        <v>19.68</v>
      </c>
      <c r="M37" s="30">
        <f t="shared" si="15"/>
        <v>93.759999999999991</v>
      </c>
      <c r="N37" s="44">
        <f t="shared" si="15"/>
        <v>93.759999999999991</v>
      </c>
    </row>
    <row r="38" spans="2:14" x14ac:dyDescent="0.25">
      <c r="B38" s="198"/>
      <c r="C38" s="29"/>
      <c r="D38" s="4" t="s">
        <v>14</v>
      </c>
      <c r="E38" s="32">
        <f t="shared" ref="E38:N38" si="16">SUM(E30:E37)</f>
        <v>860</v>
      </c>
      <c r="F38" s="47">
        <f t="shared" si="16"/>
        <v>990</v>
      </c>
      <c r="G38" s="7">
        <f t="shared" si="16"/>
        <v>18.677</v>
      </c>
      <c r="H38" s="43">
        <f t="shared" si="16"/>
        <v>21.2</v>
      </c>
      <c r="I38" s="32">
        <f t="shared" si="16"/>
        <v>25.395000000000003</v>
      </c>
      <c r="J38" s="43">
        <f t="shared" si="16"/>
        <v>29.21</v>
      </c>
      <c r="K38" s="7">
        <f t="shared" si="16"/>
        <v>112.685</v>
      </c>
      <c r="L38" s="43">
        <f t="shared" si="16"/>
        <v>124.92999999999998</v>
      </c>
      <c r="M38" s="7">
        <f t="shared" si="16"/>
        <v>754.00299999999993</v>
      </c>
      <c r="N38" s="45">
        <f t="shared" si="16"/>
        <v>847.40999999999985</v>
      </c>
    </row>
    <row r="39" spans="2:14" ht="15.75" thickBot="1" x14ac:dyDescent="0.3">
      <c r="B39" s="199"/>
      <c r="C39" s="34"/>
      <c r="D39" s="20" t="s">
        <v>12</v>
      </c>
      <c r="E39" s="21"/>
      <c r="F39" s="48"/>
      <c r="G39" s="22">
        <f t="shared" ref="G39:N39" si="17">G28+G38</f>
        <v>28.726999999999997</v>
      </c>
      <c r="H39" s="49">
        <f t="shared" si="17"/>
        <v>33.76</v>
      </c>
      <c r="I39" s="22">
        <f t="shared" si="17"/>
        <v>35.585000000000001</v>
      </c>
      <c r="J39" s="49">
        <f t="shared" si="17"/>
        <v>41.78</v>
      </c>
      <c r="K39" s="22">
        <f t="shared" si="17"/>
        <v>161.79500000000002</v>
      </c>
      <c r="L39" s="49">
        <f t="shared" si="17"/>
        <v>187.30999999999997</v>
      </c>
      <c r="M39" s="22">
        <f t="shared" si="17"/>
        <v>1082.3530000000001</v>
      </c>
      <c r="N39" s="51">
        <f t="shared" si="17"/>
        <v>1260.2999999999997</v>
      </c>
    </row>
    <row r="40" spans="2:14" ht="15" customHeight="1" x14ac:dyDescent="0.25">
      <c r="B40" s="197" t="s">
        <v>81</v>
      </c>
      <c r="C40" s="149" t="s">
        <v>8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1"/>
    </row>
    <row r="41" spans="2:14" x14ac:dyDescent="0.25">
      <c r="B41" s="198"/>
      <c r="C41" s="83" t="s">
        <v>162</v>
      </c>
      <c r="D41" s="8" t="s">
        <v>203</v>
      </c>
      <c r="E41" s="74">
        <v>130</v>
      </c>
      <c r="F41" s="39">
        <v>150</v>
      </c>
      <c r="G41" s="30">
        <f>E41*10/100</f>
        <v>13</v>
      </c>
      <c r="H41" s="42">
        <f>F41*10/100</f>
        <v>15</v>
      </c>
      <c r="I41" s="30">
        <f>E41*16.7/100</f>
        <v>21.71</v>
      </c>
      <c r="J41" s="42">
        <f>F41*16.7/100</f>
        <v>25.05</v>
      </c>
      <c r="K41" s="30">
        <f>E41*1.9/100</f>
        <v>2.4700000000000002</v>
      </c>
      <c r="L41" s="42">
        <f>F41*1.9/100</f>
        <v>2.85</v>
      </c>
      <c r="M41" s="74">
        <f t="shared" ref="M41:N42" si="18">G41*4+I41*9+K41*4</f>
        <v>257.27000000000004</v>
      </c>
      <c r="N41" s="44">
        <f t="shared" si="18"/>
        <v>296.85000000000002</v>
      </c>
    </row>
    <row r="42" spans="2:14" x14ac:dyDescent="0.25">
      <c r="B42" s="198"/>
      <c r="C42" s="29" t="s">
        <v>208</v>
      </c>
      <c r="D42" s="6" t="s">
        <v>209</v>
      </c>
      <c r="E42" s="90">
        <v>30</v>
      </c>
      <c r="F42" s="91">
        <v>40</v>
      </c>
      <c r="G42" s="30">
        <f>E42*7.6/100</f>
        <v>2.2799999999999998</v>
      </c>
      <c r="H42" s="42">
        <f>F42*7.6/100</f>
        <v>3.04</v>
      </c>
      <c r="I42" s="30">
        <f>E42*0.8/100</f>
        <v>0.24</v>
      </c>
      <c r="J42" s="42">
        <f>F42*0.8/100</f>
        <v>0.32</v>
      </c>
      <c r="K42" s="30">
        <f>E42*49.2/100</f>
        <v>14.76</v>
      </c>
      <c r="L42" s="42">
        <f>F42*49.2/100</f>
        <v>19.68</v>
      </c>
      <c r="M42" s="30">
        <f t="shared" si="18"/>
        <v>70.319999999999993</v>
      </c>
      <c r="N42" s="44">
        <f t="shared" si="18"/>
        <v>93.759999999999991</v>
      </c>
    </row>
    <row r="43" spans="2:14" x14ac:dyDescent="0.25">
      <c r="B43" s="198"/>
      <c r="C43" s="29" t="s">
        <v>78</v>
      </c>
      <c r="D43" s="6" t="s">
        <v>11</v>
      </c>
      <c r="E43" s="88">
        <v>200</v>
      </c>
      <c r="F43" s="40">
        <v>200</v>
      </c>
      <c r="G43" s="30">
        <f>E43*0.3/200</f>
        <v>0.3</v>
      </c>
      <c r="H43" s="42">
        <f>F43*0.3/200</f>
        <v>0.3</v>
      </c>
      <c r="I43" s="30">
        <f t="shared" ref="I43:J43" si="19">E43*0.1/200</f>
        <v>0.1</v>
      </c>
      <c r="J43" s="42">
        <f t="shared" si="19"/>
        <v>0.1</v>
      </c>
      <c r="K43" s="30">
        <f>E43*9.5/200</f>
        <v>9.5</v>
      </c>
      <c r="L43" s="42">
        <f>F43*9.5/200</f>
        <v>9.5</v>
      </c>
      <c r="M43" s="30">
        <f t="shared" ref="M43:N44" si="20">G43*4+I43*9+K43*4</f>
        <v>40.1</v>
      </c>
      <c r="N43" s="44">
        <f t="shared" si="20"/>
        <v>40.1</v>
      </c>
    </row>
    <row r="44" spans="2:14" x14ac:dyDescent="0.25">
      <c r="B44" s="198"/>
      <c r="C44" s="35"/>
      <c r="D44" s="4" t="s">
        <v>13</v>
      </c>
      <c r="E44" s="32">
        <f t="shared" ref="E44:L44" si="21">SUM(E41:E43)</f>
        <v>360</v>
      </c>
      <c r="F44" s="41">
        <f t="shared" si="21"/>
        <v>390</v>
      </c>
      <c r="G44" s="7">
        <f t="shared" si="21"/>
        <v>15.58</v>
      </c>
      <c r="H44" s="43">
        <f t="shared" si="21"/>
        <v>18.34</v>
      </c>
      <c r="I44" s="7">
        <f t="shared" si="21"/>
        <v>22.05</v>
      </c>
      <c r="J44" s="43">
        <f t="shared" si="21"/>
        <v>25.470000000000002</v>
      </c>
      <c r="K44" s="7">
        <f t="shared" si="21"/>
        <v>26.73</v>
      </c>
      <c r="L44" s="43">
        <f t="shared" si="21"/>
        <v>32.03</v>
      </c>
      <c r="M44" s="7">
        <f t="shared" si="20"/>
        <v>367.69000000000005</v>
      </c>
      <c r="N44" s="45">
        <f t="shared" ref="N44" si="22">H44*4+J44*9+L44*4</f>
        <v>430.71000000000004</v>
      </c>
    </row>
    <row r="45" spans="2:14" x14ac:dyDescent="0.25">
      <c r="B45" s="198"/>
      <c r="C45" s="172" t="s">
        <v>9</v>
      </c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4"/>
    </row>
    <row r="46" spans="2:14" x14ac:dyDescent="0.25">
      <c r="B46" s="198"/>
      <c r="C46" s="23" t="s">
        <v>182</v>
      </c>
      <c r="D46" s="9" t="s">
        <v>183</v>
      </c>
      <c r="E46" s="80">
        <v>60</v>
      </c>
      <c r="F46" s="52">
        <v>100</v>
      </c>
      <c r="G46" s="31">
        <f>E46*1/100</f>
        <v>0.6</v>
      </c>
      <c r="H46" s="53">
        <f>F46*1/100</f>
        <v>1</v>
      </c>
      <c r="I46" s="31">
        <f>E46*6/100</f>
        <v>3.6</v>
      </c>
      <c r="J46" s="53">
        <f>F46*6/100</f>
        <v>6</v>
      </c>
      <c r="K46" s="31">
        <f>E46*3.1/100</f>
        <v>1.86</v>
      </c>
      <c r="L46" s="53">
        <f>F46*3.1/100</f>
        <v>3.1</v>
      </c>
      <c r="M46" s="31">
        <f t="shared" ref="M46:N48" si="23">G46*4+I46*9+K46*4</f>
        <v>42.239999999999995</v>
      </c>
      <c r="N46" s="50">
        <f t="shared" si="23"/>
        <v>70.400000000000006</v>
      </c>
    </row>
    <row r="47" spans="2:14" x14ac:dyDescent="0.25">
      <c r="B47" s="198"/>
      <c r="C47" s="29" t="s">
        <v>234</v>
      </c>
      <c r="D47" s="6" t="s">
        <v>235</v>
      </c>
      <c r="E47" s="88">
        <v>200</v>
      </c>
      <c r="F47" s="40">
        <v>250</v>
      </c>
      <c r="G47" s="30">
        <f>E47*2.3/100</f>
        <v>4.5999999999999996</v>
      </c>
      <c r="H47" s="42">
        <f>F47*2.3/100</f>
        <v>5.75</v>
      </c>
      <c r="I47" s="30">
        <f>E47*1.6/100</f>
        <v>3.2</v>
      </c>
      <c r="J47" s="42">
        <f>F47*1.6/100</f>
        <v>4</v>
      </c>
      <c r="K47" s="30">
        <f>E47*4.9/100</f>
        <v>9.8000000000000007</v>
      </c>
      <c r="L47" s="42">
        <f>F47*4.9/100</f>
        <v>12.25</v>
      </c>
      <c r="M47" s="31">
        <f t="shared" si="23"/>
        <v>86.4</v>
      </c>
      <c r="N47" s="50">
        <f t="shared" si="23"/>
        <v>108</v>
      </c>
    </row>
    <row r="48" spans="2:14" x14ac:dyDescent="0.25">
      <c r="B48" s="198"/>
      <c r="C48" s="29" t="s">
        <v>238</v>
      </c>
      <c r="D48" s="6" t="s">
        <v>239</v>
      </c>
      <c r="E48" s="88">
        <v>150</v>
      </c>
      <c r="F48" s="40">
        <v>180</v>
      </c>
      <c r="G48" s="30">
        <f>E48*2.1/100</f>
        <v>3.15</v>
      </c>
      <c r="H48" s="42">
        <f>F48*2.1/100</f>
        <v>3.78</v>
      </c>
      <c r="I48" s="30">
        <f>E48*6.4/100</f>
        <v>9.6</v>
      </c>
      <c r="J48" s="42">
        <f>F48*6.4/100</f>
        <v>11.52</v>
      </c>
      <c r="K48" s="30">
        <f>E48*18.5/100</f>
        <v>27.75</v>
      </c>
      <c r="L48" s="42">
        <f>F48*18.5/100</f>
        <v>33.299999999999997</v>
      </c>
      <c r="M48" s="30">
        <f>G48*4+I48*9+K48*4</f>
        <v>210</v>
      </c>
      <c r="N48" s="44">
        <f t="shared" si="23"/>
        <v>252</v>
      </c>
    </row>
    <row r="49" spans="2:15" x14ac:dyDescent="0.25">
      <c r="B49" s="198"/>
      <c r="C49" s="89" t="s">
        <v>137</v>
      </c>
      <c r="D49" s="68" t="s">
        <v>207</v>
      </c>
      <c r="E49" s="88">
        <v>90</v>
      </c>
      <c r="F49" s="40">
        <v>100</v>
      </c>
      <c r="G49" s="30">
        <f>E49*15.9/100</f>
        <v>14.31</v>
      </c>
      <c r="H49" s="42">
        <f>F49*15.9/100</f>
        <v>15.9</v>
      </c>
      <c r="I49" s="30">
        <f>E49*14.4/100</f>
        <v>12.96</v>
      </c>
      <c r="J49" s="42">
        <f>F49*14.4/100</f>
        <v>14.4</v>
      </c>
      <c r="K49" s="30">
        <f>E49*16/100</f>
        <v>14.4</v>
      </c>
      <c r="L49" s="42">
        <f>F49*16/100</f>
        <v>16</v>
      </c>
      <c r="M49" s="30">
        <f t="shared" ref="M49:N53" si="24">G49*4+I49*9+K49*4</f>
        <v>231.48000000000002</v>
      </c>
      <c r="N49" s="44">
        <f t="shared" si="24"/>
        <v>257.2</v>
      </c>
    </row>
    <row r="50" spans="2:15" x14ac:dyDescent="0.25">
      <c r="B50" s="198"/>
      <c r="C50" s="23" t="s">
        <v>79</v>
      </c>
      <c r="D50" s="9" t="s">
        <v>16</v>
      </c>
      <c r="E50" s="88">
        <v>200</v>
      </c>
      <c r="F50" s="40">
        <v>200</v>
      </c>
      <c r="G50" s="30">
        <f>E50*0.2/200</f>
        <v>0.2</v>
      </c>
      <c r="H50" s="42">
        <f>F50*0.2/200</f>
        <v>0.2</v>
      </c>
      <c r="I50" s="30">
        <f t="shared" ref="I50:J50" si="25">E50*0.1/200</f>
        <v>0.1</v>
      </c>
      <c r="J50" s="42">
        <f t="shared" si="25"/>
        <v>0.1</v>
      </c>
      <c r="K50" s="30">
        <f>E50*9.3/200</f>
        <v>9.3000000000000007</v>
      </c>
      <c r="L50" s="42">
        <f>F50*9.3/200</f>
        <v>9.3000000000000007</v>
      </c>
      <c r="M50" s="30">
        <f t="shared" si="24"/>
        <v>38.900000000000006</v>
      </c>
      <c r="N50" s="44">
        <f t="shared" si="24"/>
        <v>38.900000000000006</v>
      </c>
    </row>
    <row r="51" spans="2:15" x14ac:dyDescent="0.25">
      <c r="B51" s="198"/>
      <c r="C51" s="29" t="s">
        <v>67</v>
      </c>
      <c r="D51" s="6" t="s">
        <v>133</v>
      </c>
      <c r="E51" s="74">
        <v>100</v>
      </c>
      <c r="F51" s="40">
        <v>100</v>
      </c>
      <c r="G51" s="30">
        <v>0.4</v>
      </c>
      <c r="H51" s="42">
        <v>0.4</v>
      </c>
      <c r="I51" s="30">
        <v>0.4</v>
      </c>
      <c r="J51" s="42">
        <v>0.4</v>
      </c>
      <c r="K51" s="30">
        <v>9.8000000000000007</v>
      </c>
      <c r="L51" s="42">
        <v>9.8000000000000007</v>
      </c>
      <c r="M51" s="30">
        <f t="shared" si="24"/>
        <v>44.400000000000006</v>
      </c>
      <c r="N51" s="44">
        <f t="shared" ref="N51:N53" si="26">H51*4+J51*9+L51*4</f>
        <v>44.400000000000006</v>
      </c>
    </row>
    <row r="52" spans="2:15" x14ac:dyDescent="0.25">
      <c r="B52" s="198"/>
      <c r="C52" s="29" t="s">
        <v>210</v>
      </c>
      <c r="D52" s="6" t="s">
        <v>24</v>
      </c>
      <c r="E52" s="90">
        <v>20</v>
      </c>
      <c r="F52" s="91">
        <v>20</v>
      </c>
      <c r="G52" s="30">
        <f>E52*8/100</f>
        <v>1.6</v>
      </c>
      <c r="H52" s="42">
        <f>F52*8/100</f>
        <v>1.6</v>
      </c>
      <c r="I52" s="30">
        <f>E52*1.5/100</f>
        <v>0.3</v>
      </c>
      <c r="J52" s="42">
        <f>F52*1.5/100</f>
        <v>0.3</v>
      </c>
      <c r="K52" s="30">
        <f>E52*40.1/100</f>
        <v>8.02</v>
      </c>
      <c r="L52" s="42">
        <f>F52*40.1/100</f>
        <v>8.02</v>
      </c>
      <c r="M52" s="30">
        <f t="shared" si="24"/>
        <v>41.18</v>
      </c>
      <c r="N52" s="44">
        <f t="shared" si="26"/>
        <v>41.18</v>
      </c>
    </row>
    <row r="53" spans="2:15" x14ac:dyDescent="0.25">
      <c r="B53" s="198"/>
      <c r="C53" s="29" t="s">
        <v>208</v>
      </c>
      <c r="D53" s="6" t="s">
        <v>209</v>
      </c>
      <c r="E53" s="90">
        <v>40</v>
      </c>
      <c r="F53" s="91">
        <v>40</v>
      </c>
      <c r="G53" s="30">
        <f>E53*7.6/100</f>
        <v>3.04</v>
      </c>
      <c r="H53" s="42">
        <f>F53*7.6/100</f>
        <v>3.04</v>
      </c>
      <c r="I53" s="30">
        <f>E53*0.8/100</f>
        <v>0.32</v>
      </c>
      <c r="J53" s="42">
        <f>F53*0.8/100</f>
        <v>0.32</v>
      </c>
      <c r="K53" s="30">
        <f>E53*49.2/100</f>
        <v>19.68</v>
      </c>
      <c r="L53" s="42">
        <f>F53*49.2/100</f>
        <v>19.68</v>
      </c>
      <c r="M53" s="30">
        <f t="shared" si="24"/>
        <v>93.759999999999991</v>
      </c>
      <c r="N53" s="44">
        <f t="shared" si="26"/>
        <v>93.759999999999991</v>
      </c>
    </row>
    <row r="54" spans="2:15" x14ac:dyDescent="0.25">
      <c r="B54" s="198"/>
      <c r="C54" s="29"/>
      <c r="D54" s="4" t="s">
        <v>14</v>
      </c>
      <c r="E54" s="32">
        <f t="shared" ref="E54:N54" si="27">SUM(E46:E53)</f>
        <v>860</v>
      </c>
      <c r="F54" s="47">
        <f t="shared" si="27"/>
        <v>990</v>
      </c>
      <c r="G54" s="7">
        <f t="shared" si="27"/>
        <v>27.9</v>
      </c>
      <c r="H54" s="43">
        <f t="shared" si="27"/>
        <v>31.669999999999998</v>
      </c>
      <c r="I54" s="32">
        <f t="shared" si="27"/>
        <v>30.48</v>
      </c>
      <c r="J54" s="43">
        <f t="shared" si="27"/>
        <v>37.04</v>
      </c>
      <c r="K54" s="7">
        <f t="shared" si="27"/>
        <v>100.60999999999999</v>
      </c>
      <c r="L54" s="43">
        <f t="shared" si="27"/>
        <v>111.44999999999999</v>
      </c>
      <c r="M54" s="7">
        <f t="shared" si="27"/>
        <v>788.3599999999999</v>
      </c>
      <c r="N54" s="45">
        <f t="shared" si="27"/>
        <v>905.8399999999998</v>
      </c>
    </row>
    <row r="55" spans="2:15" ht="15.75" thickBot="1" x14ac:dyDescent="0.3">
      <c r="B55" s="199"/>
      <c r="C55" s="34"/>
      <c r="D55" s="20" t="s">
        <v>12</v>
      </c>
      <c r="E55" s="21"/>
      <c r="F55" s="48"/>
      <c r="G55" s="22">
        <f t="shared" ref="G55:N55" si="28">G44+G54</f>
        <v>43.48</v>
      </c>
      <c r="H55" s="49">
        <f t="shared" si="28"/>
        <v>50.01</v>
      </c>
      <c r="I55" s="22">
        <f t="shared" si="28"/>
        <v>52.53</v>
      </c>
      <c r="J55" s="49">
        <f t="shared" si="28"/>
        <v>62.510000000000005</v>
      </c>
      <c r="K55" s="22">
        <f t="shared" si="28"/>
        <v>127.33999999999999</v>
      </c>
      <c r="L55" s="49">
        <f t="shared" si="28"/>
        <v>143.47999999999999</v>
      </c>
      <c r="M55" s="22">
        <f t="shared" si="28"/>
        <v>1156.05</v>
      </c>
      <c r="N55" s="51">
        <f t="shared" si="28"/>
        <v>1336.5499999999997</v>
      </c>
    </row>
    <row r="56" spans="2:15" ht="21.75" customHeight="1" thickBot="1" x14ac:dyDescent="0.3">
      <c r="B56" s="76"/>
      <c r="C56" s="191" t="s">
        <v>86</v>
      </c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"/>
    </row>
    <row r="57" spans="2:15" x14ac:dyDescent="0.25">
      <c r="B57" s="195" t="s">
        <v>40</v>
      </c>
      <c r="C57" s="196"/>
      <c r="D57" s="192" t="s">
        <v>41</v>
      </c>
      <c r="E57" s="193"/>
      <c r="F57" s="193"/>
      <c r="G57" s="193"/>
      <c r="H57" s="193"/>
      <c r="I57" s="193"/>
      <c r="J57" s="193"/>
      <c r="K57" s="193"/>
      <c r="L57" s="193"/>
      <c r="M57" s="193"/>
      <c r="N57" s="194"/>
    </row>
    <row r="58" spans="2:15" x14ac:dyDescent="0.25">
      <c r="B58" s="187"/>
      <c r="C58" s="188"/>
      <c r="D58" s="181" t="s">
        <v>59</v>
      </c>
      <c r="E58" s="182"/>
      <c r="F58" s="182"/>
      <c r="G58" s="182"/>
      <c r="H58" s="182"/>
      <c r="I58" s="182"/>
      <c r="J58" s="182"/>
      <c r="K58" s="182"/>
      <c r="L58" s="182"/>
      <c r="M58" s="182"/>
      <c r="N58" s="183"/>
    </row>
    <row r="59" spans="2:15" x14ac:dyDescent="0.25">
      <c r="B59" s="187" t="s">
        <v>42</v>
      </c>
      <c r="C59" s="188"/>
      <c r="D59" s="178" t="s">
        <v>43</v>
      </c>
      <c r="E59" s="179"/>
      <c r="F59" s="179"/>
      <c r="G59" s="179"/>
      <c r="H59" s="179"/>
      <c r="I59" s="179"/>
      <c r="J59" s="179"/>
      <c r="K59" s="179"/>
      <c r="L59" s="179"/>
      <c r="M59" s="179"/>
      <c r="N59" s="180"/>
    </row>
    <row r="60" spans="2:15" x14ac:dyDescent="0.25">
      <c r="B60" s="187"/>
      <c r="C60" s="188"/>
      <c r="D60" s="175" t="s">
        <v>44</v>
      </c>
      <c r="E60" s="176"/>
      <c r="F60" s="176"/>
      <c r="G60" s="176"/>
      <c r="H60" s="176"/>
      <c r="I60" s="176"/>
      <c r="J60" s="176"/>
      <c r="K60" s="176"/>
      <c r="L60" s="176"/>
      <c r="M60" s="176"/>
      <c r="N60" s="177"/>
    </row>
    <row r="61" spans="2:15" x14ac:dyDescent="0.25">
      <c r="B61" s="187" t="s">
        <v>45</v>
      </c>
      <c r="C61" s="188"/>
      <c r="D61" s="178" t="s">
        <v>43</v>
      </c>
      <c r="E61" s="179"/>
      <c r="F61" s="179"/>
      <c r="G61" s="179"/>
      <c r="H61" s="179"/>
      <c r="I61" s="179"/>
      <c r="J61" s="179"/>
      <c r="K61" s="179"/>
      <c r="L61" s="179"/>
      <c r="M61" s="179"/>
      <c r="N61" s="180"/>
    </row>
    <row r="62" spans="2:15" x14ac:dyDescent="0.25">
      <c r="B62" s="187"/>
      <c r="C62" s="188"/>
      <c r="D62" s="181" t="s">
        <v>46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3"/>
    </row>
    <row r="63" spans="2:15" x14ac:dyDescent="0.25">
      <c r="B63" s="187" t="s">
        <v>56</v>
      </c>
      <c r="C63" s="188"/>
      <c r="D63" s="71" t="s">
        <v>57</v>
      </c>
      <c r="E63" s="10"/>
      <c r="F63" s="11"/>
      <c r="G63" s="11"/>
      <c r="H63" s="11"/>
      <c r="I63" s="11"/>
      <c r="J63" s="11"/>
      <c r="K63" s="11"/>
      <c r="L63" s="11"/>
      <c r="M63" s="11"/>
      <c r="N63" s="58"/>
    </row>
    <row r="64" spans="2:15" ht="15.75" thickBot="1" x14ac:dyDescent="0.3">
      <c r="B64" s="189"/>
      <c r="C64" s="190"/>
      <c r="D64" s="184" t="s">
        <v>58</v>
      </c>
      <c r="E64" s="185"/>
      <c r="F64" s="185"/>
      <c r="G64" s="185"/>
      <c r="H64" s="185"/>
      <c r="I64" s="185"/>
      <c r="J64" s="185"/>
      <c r="K64" s="185"/>
      <c r="L64" s="185"/>
      <c r="M64" s="185"/>
      <c r="N64" s="186"/>
    </row>
    <row r="67" spans="4:10" x14ac:dyDescent="0.25">
      <c r="D67" s="1"/>
    </row>
    <row r="68" spans="4:10" x14ac:dyDescent="0.25">
      <c r="D68" s="1"/>
    </row>
    <row r="69" spans="4:10" x14ac:dyDescent="0.25">
      <c r="F69" s="1"/>
    </row>
    <row r="77" spans="4:10" x14ac:dyDescent="0.25">
      <c r="J77" s="1"/>
    </row>
  </sheetData>
  <mergeCells count="31">
    <mergeCell ref="B2:E2"/>
    <mergeCell ref="B3:B5"/>
    <mergeCell ref="C3:C5"/>
    <mergeCell ref="D3:D5"/>
    <mergeCell ref="E3:F4"/>
    <mergeCell ref="M3:N4"/>
    <mergeCell ref="G4:H4"/>
    <mergeCell ref="I4:J4"/>
    <mergeCell ref="K4:L4"/>
    <mergeCell ref="B6:B22"/>
    <mergeCell ref="C6:N6"/>
    <mergeCell ref="C12:N12"/>
    <mergeCell ref="G3:L3"/>
    <mergeCell ref="B23:B39"/>
    <mergeCell ref="C23:N23"/>
    <mergeCell ref="C29:N29"/>
    <mergeCell ref="C40:N40"/>
    <mergeCell ref="B40:B55"/>
    <mergeCell ref="C45:N45"/>
    <mergeCell ref="C56:N56"/>
    <mergeCell ref="D57:N57"/>
    <mergeCell ref="D58:N58"/>
    <mergeCell ref="D59:N59"/>
    <mergeCell ref="B57:C58"/>
    <mergeCell ref="D60:N60"/>
    <mergeCell ref="D61:N61"/>
    <mergeCell ref="D62:N62"/>
    <mergeCell ref="D64:N64"/>
    <mergeCell ref="B59:C60"/>
    <mergeCell ref="B61:C62"/>
    <mergeCell ref="B63:C64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сводная</vt:lpstr>
      <vt:lpstr>1 (пон,вт,ср)</vt:lpstr>
      <vt:lpstr>1 (чт,пт,сб)</vt:lpstr>
      <vt:lpstr>2 (пон,вт,ср)</vt:lpstr>
      <vt:lpstr>2 (чт,пт,сб)</vt:lpstr>
      <vt:lpstr>000</vt:lpstr>
      <vt:lpstr>'2 (пон,вт,ср)'!Область_печати</vt:lpstr>
      <vt:lpstr>'2 (чт,пт,сб)'!Область_печати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2023-05-30T05:24:39Z</dcterms:modified>
</cp:coreProperties>
</file>